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enjamin Shar\Downloads\"/>
    </mc:Choice>
  </mc:AlternateContent>
  <xr:revisionPtr revIDLastSave="0" documentId="13_ncr:1_{DB895F3A-49F2-4A46-9415-D1A542CA8D03}" xr6:coauthVersionLast="47" xr6:coauthVersionMax="47" xr10:uidLastSave="{00000000-0000-0000-0000-000000000000}"/>
  <bookViews>
    <workbookView xWindow="-108" yWindow="-108" windowWidth="23256" windowHeight="13176" xr2:uid="{5F73BDD3-3E40-4C96-B943-3FFB7D7365B7}"/>
  </bookViews>
  <sheets>
    <sheet name="Summary" sheetId="1" r:id="rId1"/>
    <sheet name="DCF" sheetId="2" r:id="rId2"/>
    <sheet name="RPM" sheetId="5" r:id="rId3"/>
  </sheets>
  <calcPr calcId="191029" iterate="1" iterateDelta="9.999999999999445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  <c r="C30" i="1"/>
  <c r="K24" i="2"/>
  <c r="L33" i="2"/>
  <c r="M33" i="2" s="1"/>
  <c r="N33" i="2" s="1"/>
  <c r="O33" i="2" s="1"/>
  <c r="P33" i="2" s="1"/>
  <c r="K33" i="2"/>
  <c r="J32" i="2"/>
  <c r="G45" i="2"/>
  <c r="H45" i="2"/>
  <c r="I45" i="2" s="1"/>
  <c r="J45" i="2" s="1"/>
  <c r="C17" i="2" l="1"/>
  <c r="C19" i="1"/>
  <c r="E21" i="2"/>
  <c r="H7" i="2"/>
  <c r="I7" i="2"/>
  <c r="G7" i="2"/>
  <c r="G17" i="2" s="1"/>
  <c r="C11" i="5"/>
  <c r="B11" i="5"/>
  <c r="C4" i="1"/>
  <c r="X36" i="5"/>
  <c r="X15" i="5" s="1"/>
  <c r="W36" i="5"/>
  <c r="W15" i="5" s="1"/>
  <c r="V36" i="5"/>
  <c r="V15" i="5" s="1"/>
  <c r="U36" i="5"/>
  <c r="U15" i="5" s="1"/>
  <c r="T36" i="5"/>
  <c r="T15" i="5" s="1"/>
  <c r="S36" i="5"/>
  <c r="S15" i="5" s="1"/>
  <c r="R36" i="5"/>
  <c r="R15" i="5" s="1"/>
  <c r="E36" i="5"/>
  <c r="R16" i="5"/>
  <c r="S16" i="5" s="1"/>
  <c r="T16" i="5" s="1"/>
  <c r="U16" i="5" s="1"/>
  <c r="V16" i="5" s="1"/>
  <c r="W16" i="5" s="1"/>
  <c r="X16" i="5" s="1"/>
  <c r="R7" i="5"/>
  <c r="Q26" i="5"/>
  <c r="Q20" i="5" s="1"/>
  <c r="P26" i="5"/>
  <c r="P24" i="5" s="1"/>
  <c r="O26" i="5"/>
  <c r="O24" i="5" s="1"/>
  <c r="N26" i="5"/>
  <c r="N24" i="5" s="1"/>
  <c r="M26" i="5"/>
  <c r="M20" i="5" s="1"/>
  <c r="L26" i="5"/>
  <c r="L20" i="5" s="1"/>
  <c r="K26" i="5"/>
  <c r="K20" i="5" s="1"/>
  <c r="Q23" i="5"/>
  <c r="P23" i="5"/>
  <c r="O23" i="5"/>
  <c r="N23" i="5"/>
  <c r="M23" i="5"/>
  <c r="N20" i="5"/>
  <c r="Q19" i="5"/>
  <c r="P19" i="5"/>
  <c r="O19" i="5"/>
  <c r="N19" i="5"/>
  <c r="M19" i="5"/>
  <c r="L19" i="5"/>
  <c r="G13" i="5"/>
  <c r="H13" i="5" s="1"/>
  <c r="I13" i="5" s="1"/>
  <c r="H11" i="5"/>
  <c r="I11" i="5" s="1"/>
  <c r="G11" i="5"/>
  <c r="G9" i="5"/>
  <c r="H9" i="5" s="1"/>
  <c r="F8" i="5"/>
  <c r="F12" i="5" s="1"/>
  <c r="C9" i="1"/>
  <c r="C20" i="1" l="1"/>
  <c r="C21" i="1"/>
  <c r="C12" i="1"/>
  <c r="L27" i="5"/>
  <c r="Q29" i="5"/>
  <c r="F10" i="5"/>
  <c r="Q27" i="5"/>
  <c r="J11" i="5"/>
  <c r="K11" i="5" s="1"/>
  <c r="L11" i="5" s="1"/>
  <c r="M11" i="5" s="1"/>
  <c r="J13" i="5"/>
  <c r="K13" i="5" s="1"/>
  <c r="L13" i="5" s="1"/>
  <c r="M13" i="5" s="1"/>
  <c r="N13" i="5" s="1"/>
  <c r="O13" i="5" s="1"/>
  <c r="P13" i="5" s="1"/>
  <c r="H8" i="5"/>
  <c r="I9" i="5"/>
  <c r="G8" i="5"/>
  <c r="G12" i="5" s="1"/>
  <c r="M27" i="5"/>
  <c r="L7" i="2"/>
  <c r="O20" i="5"/>
  <c r="N27" i="5"/>
  <c r="K7" i="2"/>
  <c r="O27" i="5"/>
  <c r="S7" i="5"/>
  <c r="J7" i="2"/>
  <c r="P27" i="5"/>
  <c r="P7" i="2"/>
  <c r="O7" i="2"/>
  <c r="N7" i="2"/>
  <c r="M7" i="2"/>
  <c r="M32" i="2" s="1"/>
  <c r="K29" i="5"/>
  <c r="O29" i="5"/>
  <c r="N29" i="5"/>
  <c r="M29" i="5"/>
  <c r="L29" i="5"/>
  <c r="P29" i="5"/>
  <c r="Q24" i="5"/>
  <c r="P20" i="5"/>
  <c r="M24" i="5"/>
  <c r="L24" i="5"/>
  <c r="C18" i="1"/>
  <c r="C22" i="1" l="1"/>
  <c r="O32" i="2"/>
  <c r="K32" i="2"/>
  <c r="N32" i="2"/>
  <c r="L32" i="2"/>
  <c r="P32" i="2"/>
  <c r="H10" i="5"/>
  <c r="H12" i="5"/>
  <c r="Q13" i="5"/>
  <c r="R13" i="5" s="1"/>
  <c r="T7" i="5"/>
  <c r="I8" i="5"/>
  <c r="J9" i="5"/>
  <c r="G10" i="5"/>
  <c r="N11" i="5"/>
  <c r="O11" i="5" s="1"/>
  <c r="P11" i="5" s="1"/>
  <c r="Q11" i="5" s="1"/>
  <c r="R11" i="5" s="1"/>
  <c r="S11" i="5" s="1"/>
  <c r="T11" i="5" s="1"/>
  <c r="U11" i="5" s="1"/>
  <c r="V11" i="5" s="1"/>
  <c r="W11" i="5" s="1"/>
  <c r="X11" i="5" s="1"/>
  <c r="C25" i="1"/>
  <c r="P50" i="2"/>
  <c r="H50" i="2"/>
  <c r="W50" i="2"/>
  <c r="O50" i="2"/>
  <c r="G50" i="2"/>
  <c r="V50" i="2"/>
  <c r="N50" i="2"/>
  <c r="U50" i="2"/>
  <c r="M50" i="2"/>
  <c r="T50" i="2"/>
  <c r="L50" i="2"/>
  <c r="S50" i="2"/>
  <c r="K50" i="2"/>
  <c r="R50" i="2"/>
  <c r="J50" i="2"/>
  <c r="Q50" i="2"/>
  <c r="I50" i="2"/>
  <c r="K9" i="5" l="1"/>
  <c r="J8" i="5"/>
  <c r="U7" i="5"/>
  <c r="S13" i="5"/>
  <c r="I10" i="5"/>
  <c r="I12" i="5"/>
  <c r="G47" i="2"/>
  <c r="H47" i="2" s="1"/>
  <c r="I47" i="2" s="1"/>
  <c r="J47" i="2" s="1"/>
  <c r="K47" i="2" s="1"/>
  <c r="L47" i="2" s="1"/>
  <c r="M47" i="2" s="1"/>
  <c r="N47" i="2" s="1"/>
  <c r="O47" i="2" s="1"/>
  <c r="P47" i="2" s="1"/>
  <c r="Q47" i="2" s="1"/>
  <c r="R47" i="2" s="1"/>
  <c r="S47" i="2" s="1"/>
  <c r="T47" i="2" s="1"/>
  <c r="U47" i="2" s="1"/>
  <c r="V47" i="2" s="1"/>
  <c r="W47" i="2" s="1"/>
  <c r="D32" i="2"/>
  <c r="E32" i="2"/>
  <c r="F32" i="2"/>
  <c r="G32" i="2"/>
  <c r="H32" i="2"/>
  <c r="I32" i="2"/>
  <c r="G31" i="2" l="1"/>
  <c r="G33" i="2"/>
  <c r="V7" i="5"/>
  <c r="J10" i="5"/>
  <c r="J12" i="5"/>
  <c r="T13" i="5"/>
  <c r="L9" i="5"/>
  <c r="K8" i="5"/>
  <c r="G34" i="2"/>
  <c r="H34" i="2" s="1"/>
  <c r="H39" i="2" s="1"/>
  <c r="K45" i="2"/>
  <c r="H31" i="2"/>
  <c r="H37" i="2" s="1"/>
  <c r="G37" i="2"/>
  <c r="N14" i="2"/>
  <c r="O14" i="2" s="1"/>
  <c r="G21" i="2"/>
  <c r="H21" i="2" s="1"/>
  <c r="I21" i="2" s="1"/>
  <c r="J21" i="2" s="1"/>
  <c r="K21" i="2" s="1"/>
  <c r="L21" i="2" s="1"/>
  <c r="M21" i="2" s="1"/>
  <c r="N21" i="2" s="1"/>
  <c r="O21" i="2" s="1"/>
  <c r="P21" i="2" s="1"/>
  <c r="Q21" i="2" s="1"/>
  <c r="R21" i="2" s="1"/>
  <c r="S21" i="2" s="1"/>
  <c r="T21" i="2" s="1"/>
  <c r="U21" i="2" s="1"/>
  <c r="V21" i="2" s="1"/>
  <c r="W21" i="2" s="1"/>
  <c r="L16" i="2"/>
  <c r="M16" i="2" s="1"/>
  <c r="N16" i="2" s="1"/>
  <c r="C10" i="2"/>
  <c r="H8" i="2"/>
  <c r="D7" i="2"/>
  <c r="D17" i="2" s="1"/>
  <c r="N25" i="2"/>
  <c r="O25" i="2" s="1"/>
  <c r="P25" i="2" s="1"/>
  <c r="Q25" i="2" s="1"/>
  <c r="R25" i="2" s="1"/>
  <c r="S25" i="2" s="1"/>
  <c r="T25" i="2" s="1"/>
  <c r="U25" i="2" s="1"/>
  <c r="V25" i="2" s="1"/>
  <c r="W25" i="2" s="1"/>
  <c r="H24" i="2"/>
  <c r="I24" i="2" s="1"/>
  <c r="J24" i="2" s="1"/>
  <c r="H20" i="2"/>
  <c r="I20" i="2" s="1"/>
  <c r="J20" i="2" s="1"/>
  <c r="K20" i="2" s="1"/>
  <c r="L20" i="2" s="1"/>
  <c r="M20" i="2" s="1"/>
  <c r="N20" i="2" s="1"/>
  <c r="O20" i="2" s="1"/>
  <c r="P20" i="2" s="1"/>
  <c r="Q20" i="2" s="1"/>
  <c r="R20" i="2" s="1"/>
  <c r="S20" i="2" s="1"/>
  <c r="T20" i="2" s="1"/>
  <c r="U20" i="2" s="1"/>
  <c r="V20" i="2" s="1"/>
  <c r="W20" i="2" s="1"/>
  <c r="H19" i="2"/>
  <c r="I19" i="2" s="1"/>
  <c r="J19" i="2" s="1"/>
  <c r="K19" i="2" s="1"/>
  <c r="L19" i="2" s="1"/>
  <c r="M19" i="2" s="1"/>
  <c r="N19" i="2" s="1"/>
  <c r="O19" i="2" s="1"/>
  <c r="P19" i="2" s="1"/>
  <c r="Q19" i="2" s="1"/>
  <c r="R19" i="2" s="1"/>
  <c r="S19" i="2" s="1"/>
  <c r="T19" i="2" s="1"/>
  <c r="U19" i="2" s="1"/>
  <c r="V19" i="2" s="1"/>
  <c r="W19" i="2" s="1"/>
  <c r="H33" i="2" l="1"/>
  <c r="I33" i="2" s="1"/>
  <c r="J33" i="2" s="1"/>
  <c r="G38" i="2"/>
  <c r="U13" i="5"/>
  <c r="K14" i="5"/>
  <c r="K12" i="5"/>
  <c r="K10" i="5"/>
  <c r="L8" i="5"/>
  <c r="M9" i="5"/>
  <c r="W7" i="5"/>
  <c r="I8" i="2"/>
  <c r="I17" i="2" s="1"/>
  <c r="H17" i="2"/>
  <c r="E7" i="2"/>
  <c r="G39" i="2"/>
  <c r="G40" i="2" s="1"/>
  <c r="G46" i="2" s="1"/>
  <c r="I34" i="2"/>
  <c r="I39" i="2" s="1"/>
  <c r="I31" i="2"/>
  <c r="I37" i="2" s="1"/>
  <c r="C22" i="2"/>
  <c r="C27" i="2" s="1"/>
  <c r="C44" i="2"/>
  <c r="H10" i="2"/>
  <c r="L45" i="2"/>
  <c r="P14" i="2"/>
  <c r="D10" i="2"/>
  <c r="O16" i="2"/>
  <c r="I10" i="2"/>
  <c r="H38" i="2" l="1"/>
  <c r="H40" i="2" s="1"/>
  <c r="H46" i="2" s="1"/>
  <c r="N9" i="5"/>
  <c r="M8" i="5"/>
  <c r="L10" i="5"/>
  <c r="L12" i="5"/>
  <c r="L14" i="5"/>
  <c r="V13" i="5"/>
  <c r="X7" i="5"/>
  <c r="E17" i="2"/>
  <c r="E44" i="2" s="1"/>
  <c r="F7" i="2"/>
  <c r="F17" i="2" s="1"/>
  <c r="E10" i="2"/>
  <c r="H44" i="2"/>
  <c r="D22" i="2"/>
  <c r="D27" i="2" s="1"/>
  <c r="D44" i="2"/>
  <c r="M45" i="2"/>
  <c r="I38" i="2"/>
  <c r="I40" i="2" s="1"/>
  <c r="I46" i="2" s="1"/>
  <c r="Q14" i="2"/>
  <c r="P16" i="2"/>
  <c r="H48" i="2" l="1"/>
  <c r="H49" i="2" s="1"/>
  <c r="H51" i="2" s="1"/>
  <c r="W13" i="5"/>
  <c r="M14" i="5"/>
  <c r="M12" i="5"/>
  <c r="M10" i="5"/>
  <c r="O9" i="5"/>
  <c r="N8" i="5"/>
  <c r="F10" i="2"/>
  <c r="E22" i="2"/>
  <c r="E27" i="2" s="1"/>
  <c r="H22" i="2"/>
  <c r="H27" i="2" s="1"/>
  <c r="F22" i="2"/>
  <c r="F27" i="2" s="1"/>
  <c r="F44" i="2"/>
  <c r="J38" i="2"/>
  <c r="N45" i="2"/>
  <c r="R14" i="2"/>
  <c r="G10" i="2"/>
  <c r="Q16" i="2"/>
  <c r="O8" i="5" l="1"/>
  <c r="P9" i="5"/>
  <c r="X13" i="5"/>
  <c r="N14" i="5"/>
  <c r="N12" i="5"/>
  <c r="N10" i="5"/>
  <c r="I44" i="2"/>
  <c r="I48" i="2" s="1"/>
  <c r="I49" i="2" s="1"/>
  <c r="I51" i="2" s="1"/>
  <c r="I22" i="2"/>
  <c r="I27" i="2" s="1"/>
  <c r="O45" i="2"/>
  <c r="K38" i="2"/>
  <c r="G22" i="2"/>
  <c r="G27" i="2" s="1"/>
  <c r="G44" i="2"/>
  <c r="G48" i="2" s="1"/>
  <c r="S14" i="2"/>
  <c r="R16" i="2"/>
  <c r="Q9" i="5" l="1"/>
  <c r="P8" i="5"/>
  <c r="O14" i="5"/>
  <c r="O12" i="5"/>
  <c r="O10" i="5"/>
  <c r="G49" i="2"/>
  <c r="G51" i="2" s="1"/>
  <c r="L38" i="2"/>
  <c r="P45" i="2"/>
  <c r="T14" i="2"/>
  <c r="S16" i="2"/>
  <c r="P10" i="5" l="1"/>
  <c r="P14" i="5"/>
  <c r="P12" i="5"/>
  <c r="Q8" i="5"/>
  <c r="R9" i="5"/>
  <c r="Q45" i="2"/>
  <c r="M38" i="2"/>
  <c r="U14" i="2"/>
  <c r="T16" i="2"/>
  <c r="Q12" i="5" l="1"/>
  <c r="Q10" i="5"/>
  <c r="Q14" i="5"/>
  <c r="S9" i="5"/>
  <c r="R8" i="5"/>
  <c r="N38" i="2"/>
  <c r="R45" i="2"/>
  <c r="V14" i="2"/>
  <c r="U16" i="2"/>
  <c r="R10" i="5" l="1"/>
  <c r="R14" i="5"/>
  <c r="R18" i="5" s="1"/>
  <c r="R12" i="5"/>
  <c r="T9" i="5"/>
  <c r="S8" i="5"/>
  <c r="S45" i="2"/>
  <c r="O38" i="2"/>
  <c r="W14" i="2"/>
  <c r="V16" i="2"/>
  <c r="S10" i="5" l="1"/>
  <c r="S14" i="5"/>
  <c r="S18" i="5" s="1"/>
  <c r="S12" i="5"/>
  <c r="U9" i="5"/>
  <c r="T8" i="5"/>
  <c r="R19" i="5"/>
  <c r="R23" i="5" s="1"/>
  <c r="R22" i="5" s="1"/>
  <c r="P38" i="2"/>
  <c r="T45" i="2"/>
  <c r="W16" i="2"/>
  <c r="T10" i="5" l="1"/>
  <c r="T14" i="5"/>
  <c r="T18" i="5" s="1"/>
  <c r="T12" i="5"/>
  <c r="V9" i="5"/>
  <c r="U8" i="5"/>
  <c r="S19" i="5"/>
  <c r="S23" i="5" s="1"/>
  <c r="S22" i="5" s="1"/>
  <c r="S26" i="5" s="1"/>
  <c r="R26" i="5"/>
  <c r="U45" i="2"/>
  <c r="W9" i="5" l="1"/>
  <c r="V8" i="5"/>
  <c r="S27" i="5"/>
  <c r="S29" i="5"/>
  <c r="R7" i="2"/>
  <c r="S24" i="5"/>
  <c r="U10" i="5"/>
  <c r="U14" i="5"/>
  <c r="U18" i="5" s="1"/>
  <c r="U12" i="5"/>
  <c r="T19" i="5"/>
  <c r="T23" i="5" s="1"/>
  <c r="T22" i="5" s="1"/>
  <c r="Q7" i="2"/>
  <c r="Q32" i="2" s="1"/>
  <c r="Q33" i="2" s="1"/>
  <c r="R29" i="5"/>
  <c r="R27" i="5"/>
  <c r="R20" i="5"/>
  <c r="S20" i="5"/>
  <c r="R24" i="5"/>
  <c r="W45" i="2"/>
  <c r="V45" i="2"/>
  <c r="R32" i="2" l="1"/>
  <c r="R33" i="2" s="1"/>
  <c r="Q38" i="2"/>
  <c r="R13" i="2"/>
  <c r="R15" i="2"/>
  <c r="Q13" i="2"/>
  <c r="Q15" i="2"/>
  <c r="T26" i="5"/>
  <c r="V10" i="5"/>
  <c r="V14" i="5"/>
  <c r="V18" i="5" s="1"/>
  <c r="V12" i="5"/>
  <c r="U19" i="5"/>
  <c r="U23" i="5" s="1"/>
  <c r="U22" i="5" s="1"/>
  <c r="X9" i="5"/>
  <c r="X8" i="5" s="1"/>
  <c r="W8" i="5"/>
  <c r="R38" i="2" l="1"/>
  <c r="U26" i="5"/>
  <c r="U24" i="5" s="1"/>
  <c r="W10" i="5"/>
  <c r="W14" i="5"/>
  <c r="W18" i="5" s="1"/>
  <c r="W12" i="5"/>
  <c r="S7" i="2"/>
  <c r="S32" i="2" s="1"/>
  <c r="S33" i="2" s="1"/>
  <c r="T29" i="5"/>
  <c r="T27" i="5"/>
  <c r="T20" i="5"/>
  <c r="X10" i="5"/>
  <c r="X14" i="5"/>
  <c r="X18" i="5" s="1"/>
  <c r="X12" i="5"/>
  <c r="T24" i="5"/>
  <c r="V19" i="5"/>
  <c r="V23" i="5" s="1"/>
  <c r="V22" i="5" s="1"/>
  <c r="S38" i="2" l="1"/>
  <c r="V26" i="5"/>
  <c r="X19" i="5"/>
  <c r="X23" i="5" s="1"/>
  <c r="W19" i="5"/>
  <c r="W23" i="5" s="1"/>
  <c r="W22" i="5" s="1"/>
  <c r="S13" i="2"/>
  <c r="S15" i="2"/>
  <c r="U29" i="5"/>
  <c r="T7" i="2"/>
  <c r="T32" i="2" s="1"/>
  <c r="T33" i="2" s="1"/>
  <c r="U27" i="5"/>
  <c r="U20" i="5"/>
  <c r="J8" i="2"/>
  <c r="J17" i="2" s="1"/>
  <c r="T38" i="2" l="1"/>
  <c r="X22" i="5"/>
  <c r="W26" i="5"/>
  <c r="T13" i="2"/>
  <c r="T15" i="2"/>
  <c r="V27" i="5"/>
  <c r="U7" i="2"/>
  <c r="U32" i="2" s="1"/>
  <c r="U33" i="2" s="1"/>
  <c r="U38" i="2" s="1"/>
  <c r="V29" i="5"/>
  <c r="V20" i="5"/>
  <c r="V24" i="5"/>
  <c r="J10" i="2"/>
  <c r="J44" i="2"/>
  <c r="N8" i="2"/>
  <c r="K8" i="2"/>
  <c r="K17" i="2" s="1"/>
  <c r="M8" i="2"/>
  <c r="L8" i="2"/>
  <c r="L17" i="2" s="1"/>
  <c r="V7" i="2" l="1"/>
  <c r="V32" i="2" s="1"/>
  <c r="V33" i="2" s="1"/>
  <c r="W29" i="5"/>
  <c r="W27" i="5"/>
  <c r="W20" i="5"/>
  <c r="X26" i="5"/>
  <c r="U13" i="2"/>
  <c r="U15" i="2"/>
  <c r="W24" i="5"/>
  <c r="M10" i="2"/>
  <c r="M17" i="2"/>
  <c r="M22" i="2" s="1"/>
  <c r="M24" i="2" s="1"/>
  <c r="M27" i="2" s="1"/>
  <c r="N10" i="2"/>
  <c r="N17" i="2"/>
  <c r="J22" i="2"/>
  <c r="J27" i="2" s="1"/>
  <c r="L10" i="2"/>
  <c r="L44" i="2"/>
  <c r="K10" i="2"/>
  <c r="J31" i="2"/>
  <c r="J34" i="2"/>
  <c r="O8" i="2"/>
  <c r="O17" i="2" s="1"/>
  <c r="V38" i="2" l="1"/>
  <c r="X27" i="5"/>
  <c r="X29" i="5"/>
  <c r="W7" i="2"/>
  <c r="X20" i="5"/>
  <c r="X24" i="5"/>
  <c r="V13" i="2"/>
  <c r="V15" i="2"/>
  <c r="M44" i="2"/>
  <c r="L22" i="2"/>
  <c r="L24" i="2" s="1"/>
  <c r="L27" i="2" s="1"/>
  <c r="O10" i="2"/>
  <c r="N22" i="2"/>
  <c r="N24" i="2" s="1"/>
  <c r="N27" i="2" s="1"/>
  <c r="N44" i="2"/>
  <c r="O22" i="2"/>
  <c r="O24" i="2" s="1"/>
  <c r="O27" i="2" s="1"/>
  <c r="O44" i="2"/>
  <c r="K34" i="2"/>
  <c r="J39" i="2"/>
  <c r="P8" i="2"/>
  <c r="P17" i="2" s="1"/>
  <c r="K31" i="2"/>
  <c r="K37" i="2" s="1"/>
  <c r="J37" i="2"/>
  <c r="K22" i="2"/>
  <c r="K27" i="2" s="1"/>
  <c r="K44" i="2"/>
  <c r="W13" i="2" l="1"/>
  <c r="W15" i="2"/>
  <c r="P10" i="2"/>
  <c r="P44" i="2"/>
  <c r="Q8" i="2"/>
  <c r="L34" i="2"/>
  <c r="K39" i="2"/>
  <c r="K40" i="2" s="1"/>
  <c r="K46" i="2" s="1"/>
  <c r="K48" i="2" s="1"/>
  <c r="J40" i="2"/>
  <c r="J46" i="2" s="1"/>
  <c r="J48" i="2" s="1"/>
  <c r="L31" i="2"/>
  <c r="L37" i="2" s="1"/>
  <c r="Q10" i="2" l="1"/>
  <c r="Q17" i="2"/>
  <c r="Q44" i="2" s="1"/>
  <c r="J49" i="2"/>
  <c r="J51" i="2" s="1"/>
  <c r="K49" i="2"/>
  <c r="K51" i="2" s="1"/>
  <c r="P22" i="2"/>
  <c r="P24" i="2" s="1"/>
  <c r="P27" i="2" s="1"/>
  <c r="M31" i="2"/>
  <c r="M34" i="2"/>
  <c r="L39" i="2"/>
  <c r="L40" i="2" s="1"/>
  <c r="L46" i="2" s="1"/>
  <c r="L48" i="2" s="1"/>
  <c r="R8" i="2"/>
  <c r="R10" i="2" l="1"/>
  <c r="R17" i="2"/>
  <c r="L49" i="2"/>
  <c r="L51" i="2" s="1"/>
  <c r="Q22" i="2"/>
  <c r="Q24" i="2" s="1"/>
  <c r="Q27" i="2" s="1"/>
  <c r="R22" i="2"/>
  <c r="R24" i="2" s="1"/>
  <c r="R27" i="2" s="1"/>
  <c r="N31" i="2"/>
  <c r="N37" i="2" s="1"/>
  <c r="M37" i="2"/>
  <c r="S8" i="2"/>
  <c r="S17" i="2" s="1"/>
  <c r="N34" i="2"/>
  <c r="M39" i="2"/>
  <c r="M40" i="2" l="1"/>
  <c r="M46" i="2" s="1"/>
  <c r="M48" i="2" s="1"/>
  <c r="S22" i="2"/>
  <c r="S24" i="2" s="1"/>
  <c r="S27" i="2" s="1"/>
  <c r="R44" i="2"/>
  <c r="S10" i="2"/>
  <c r="T8" i="2"/>
  <c r="O34" i="2"/>
  <c r="N39" i="2"/>
  <c r="N40" i="2" s="1"/>
  <c r="N46" i="2" s="1"/>
  <c r="N48" i="2" s="1"/>
  <c r="O31" i="2"/>
  <c r="T10" i="2" l="1"/>
  <c r="T17" i="2"/>
  <c r="T22" i="2" s="1"/>
  <c r="T24" i="2" s="1"/>
  <c r="T27" i="2" s="1"/>
  <c r="M49" i="2"/>
  <c r="M51" i="2" s="1"/>
  <c r="N49" i="2"/>
  <c r="N51" i="2" s="1"/>
  <c r="S44" i="2"/>
  <c r="U8" i="2"/>
  <c r="P34" i="2"/>
  <c r="O39" i="2"/>
  <c r="P31" i="2"/>
  <c r="P37" i="2" s="1"/>
  <c r="O37" i="2"/>
  <c r="U10" i="2" l="1"/>
  <c r="U17" i="2"/>
  <c r="U22" i="2" s="1"/>
  <c r="U24" i="2" s="1"/>
  <c r="U27" i="2" s="1"/>
  <c r="T44" i="2"/>
  <c r="W8" i="2"/>
  <c r="Q31" i="2"/>
  <c r="Q34" i="2"/>
  <c r="P39" i="2"/>
  <c r="P40" i="2" s="1"/>
  <c r="P46" i="2" s="1"/>
  <c r="P48" i="2" s="1"/>
  <c r="V8" i="2"/>
  <c r="O40" i="2"/>
  <c r="O46" i="2" s="1"/>
  <c r="O48" i="2" s="1"/>
  <c r="W10" i="2" l="1"/>
  <c r="W17" i="2"/>
  <c r="W22" i="2" s="1"/>
  <c r="W24" i="2" s="1"/>
  <c r="W27" i="2" s="1"/>
  <c r="V10" i="2"/>
  <c r="V17" i="2"/>
  <c r="V22" i="2" s="1"/>
  <c r="P49" i="2"/>
  <c r="P51" i="2" s="1"/>
  <c r="O49" i="2"/>
  <c r="O51" i="2" s="1"/>
  <c r="U44" i="2"/>
  <c r="R31" i="2"/>
  <c r="Q37" i="2"/>
  <c r="W32" i="2"/>
  <c r="W33" i="2" s="1"/>
  <c r="W38" i="2" s="1"/>
  <c r="R34" i="2"/>
  <c r="Q39" i="2"/>
  <c r="W44" i="2" l="1"/>
  <c r="V44" i="2"/>
  <c r="Q40" i="2"/>
  <c r="Q46" i="2" s="1"/>
  <c r="Q48" i="2" s="1"/>
  <c r="S31" i="2"/>
  <c r="S37" i="2" s="1"/>
  <c r="S34" i="2"/>
  <c r="R39" i="2"/>
  <c r="R37" i="2"/>
  <c r="V24" i="2"/>
  <c r="V27" i="2" s="1"/>
  <c r="Q49" i="2" l="1"/>
  <c r="Q51" i="2" s="1"/>
  <c r="R40" i="2"/>
  <c r="R46" i="2" s="1"/>
  <c r="R48" i="2" s="1"/>
  <c r="T34" i="2"/>
  <c r="S39" i="2"/>
  <c r="S40" i="2" s="1"/>
  <c r="S46" i="2" s="1"/>
  <c r="S48" i="2" s="1"/>
  <c r="T31" i="2"/>
  <c r="R49" i="2" l="1"/>
  <c r="R51" i="2" s="1"/>
  <c r="S49" i="2"/>
  <c r="S51" i="2" s="1"/>
  <c r="U31" i="2"/>
  <c r="T37" i="2"/>
  <c r="U34" i="2"/>
  <c r="T39" i="2"/>
  <c r="T40" i="2" l="1"/>
  <c r="T46" i="2" s="1"/>
  <c r="T48" i="2" s="1"/>
  <c r="V31" i="2"/>
  <c r="V34" i="2"/>
  <c r="U39" i="2"/>
  <c r="U37" i="2"/>
  <c r="T49" i="2" l="1"/>
  <c r="T51" i="2" s="1"/>
  <c r="U40" i="2"/>
  <c r="U46" i="2" s="1"/>
  <c r="U48" i="2" s="1"/>
  <c r="W31" i="2"/>
  <c r="W37" i="2" s="1"/>
  <c r="V37" i="2"/>
  <c r="W34" i="2"/>
  <c r="W39" i="2" s="1"/>
  <c r="V39" i="2"/>
  <c r="U49" i="2" l="1"/>
  <c r="U51" i="2" s="1"/>
  <c r="W40" i="2"/>
  <c r="W46" i="2" s="1"/>
  <c r="W48" i="2" s="1"/>
  <c r="W49" i="2" s="1"/>
  <c r="C26" i="1" s="1"/>
  <c r="V40" i="2"/>
  <c r="V46" i="2" s="1"/>
  <c r="V48" i="2" s="1"/>
  <c r="V49" i="2" l="1"/>
  <c r="V51" i="2" s="1"/>
  <c r="C27" i="1"/>
  <c r="W51" i="2"/>
  <c r="C28" i="1" l="1"/>
  <c r="C29" i="1" s="1"/>
  <c r="C32" i="1" l="1"/>
  <c r="C33" i="1" s="1"/>
  <c r="C3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Benjamin Shar</author>
  </authors>
  <commentList>
    <comment ref="B17" authorId="0" shapeId="0" xr:uid="{60A6631A-65B3-438F-AF66-1A758E06E202}">
      <text>
        <r>
          <rPr>
            <b/>
            <sz val="9"/>
            <color indexed="81"/>
            <rFont val="Tahoma"/>
            <family val="2"/>
          </rPr>
          <t>Benjamin Shar:</t>
        </r>
        <r>
          <rPr>
            <sz val="9"/>
            <color indexed="81"/>
            <rFont val="Tahoma"/>
            <family val="2"/>
          </rPr>
          <t xml:space="preserve">
TD securities estimates</t>
        </r>
      </text>
    </comment>
    <comment ref="B19" authorId="0" shapeId="0" xr:uid="{120086BB-D7D7-410C-B320-182CD4F759D5}">
      <text>
        <r>
          <rPr>
            <b/>
            <sz val="9"/>
            <color indexed="81"/>
            <rFont val="Tahoma"/>
            <family val="2"/>
          </rPr>
          <t>Benjamin Shar:</t>
        </r>
        <r>
          <rPr>
            <sz val="9"/>
            <color indexed="81"/>
            <rFont val="Tahoma"/>
            <family val="2"/>
          </rPr>
          <t xml:space="preserve">
Can't do YTM or Credit Rating + spread for company, so taking average biotech cost of debt and add spread based on the spread above CoE for biotech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Benjamin Shar</author>
  </authors>
  <commentList>
    <comment ref="B5" authorId="0" shapeId="0" xr:uid="{F47A831E-71B9-498B-BD5C-AA29A62B5592}">
      <text>
        <r>
          <rPr>
            <b/>
            <sz val="9"/>
            <color indexed="81"/>
            <rFont val="Tahoma"/>
            <family val="2"/>
          </rPr>
          <t>Benjamin Shar:</t>
        </r>
        <r>
          <rPr>
            <sz val="9"/>
            <color indexed="81"/>
            <rFont val="Tahoma"/>
            <family val="2"/>
          </rPr>
          <t xml:space="preserve">
Data found through analyst estimates as well as S4 filings as a result of a reverse merger in 2024</t>
        </r>
      </text>
    </comment>
    <comment ref="B9" authorId="0" shapeId="0" xr:uid="{D68811E0-CE42-4ADE-9526-B6BADE51C96E}">
      <text>
        <r>
          <rPr>
            <b/>
            <sz val="9"/>
            <color indexed="81"/>
            <rFont val="Tahoma"/>
            <family val="2"/>
          </rPr>
          <t>Benjamin Shar:</t>
        </r>
        <r>
          <rPr>
            <sz val="9"/>
            <color indexed="81"/>
            <rFont val="Tahoma"/>
            <family val="2"/>
          </rPr>
          <t xml:space="preserve">
Pharmagellan reference for 15% number</t>
        </r>
      </text>
    </comment>
    <comment ref="B12" authorId="0" shapeId="0" xr:uid="{5FD1AD76-BEEF-4748-ADD9-DF44F3F6F75E}">
      <text>
        <r>
          <rPr>
            <b/>
            <sz val="9"/>
            <color indexed="81"/>
            <rFont val="Tahoma"/>
            <charset val="1"/>
          </rPr>
          <t>Benjamin Shar:</t>
        </r>
        <r>
          <rPr>
            <sz val="9"/>
            <color indexed="81"/>
            <rFont val="Tahoma"/>
            <charset val="1"/>
          </rPr>
          <t xml:space="preserve">
Analyst estimates + using same % past 2035
Historical years are just taken from 10K</t>
        </r>
      </text>
    </comment>
    <comment ref="B19" authorId="0" shapeId="0" xr:uid="{FBEFECC7-F813-4B97-B587-EF5380D8BEC7}">
      <text>
        <r>
          <rPr>
            <b/>
            <sz val="9"/>
            <color indexed="81"/>
            <rFont val="Tahoma"/>
            <charset val="1"/>
          </rPr>
          <t>Benjamin Shar:</t>
        </r>
        <r>
          <rPr>
            <sz val="9"/>
            <color indexed="81"/>
            <rFont val="Tahoma"/>
            <charset val="1"/>
          </rPr>
          <t xml:space="preserve">
2021 and 2022 was consolidated as either income / expense net</t>
        </r>
      </text>
    </comment>
    <comment ref="B20" authorId="0" shapeId="0" xr:uid="{17777110-9D7D-4FF4-83CD-86F8959DBFBD}">
      <text>
        <r>
          <rPr>
            <b/>
            <sz val="9"/>
            <color indexed="81"/>
            <rFont val="Tahoma"/>
            <family val="2"/>
          </rPr>
          <t>Benjamin Shar:</t>
        </r>
        <r>
          <rPr>
            <sz val="9"/>
            <color indexed="81"/>
            <rFont val="Tahoma"/>
            <family val="2"/>
          </rPr>
          <t xml:space="preserve">
Funded mostly through prior merger cash as well as equity placements, not debt</t>
        </r>
      </text>
    </comment>
    <comment ref="B24" authorId="0" shapeId="0" xr:uid="{55D83065-5777-4912-8EF5-5272332D494E}">
      <text>
        <r>
          <rPr>
            <b/>
            <sz val="9"/>
            <color indexed="81"/>
            <rFont val="Tahoma"/>
            <charset val="1"/>
          </rPr>
          <t>Benjamin Shar:</t>
        </r>
        <r>
          <rPr>
            <sz val="9"/>
            <color indexed="81"/>
            <rFont val="Tahoma"/>
            <charset val="1"/>
          </rPr>
          <t xml:space="preserve">
Analyst estimates
</t>
        </r>
      </text>
    </comment>
    <comment ref="B29" authorId="0" shapeId="0" xr:uid="{BCA9A1B6-3CD8-48F2-95D7-EDCE20B76DFC}">
      <text>
        <r>
          <rPr>
            <b/>
            <sz val="9"/>
            <color indexed="81"/>
            <rFont val="Tahoma"/>
            <family val="2"/>
          </rPr>
          <t>Benjamin Shar:</t>
        </r>
        <r>
          <rPr>
            <sz val="9"/>
            <color indexed="81"/>
            <rFont val="Tahoma"/>
            <family val="2"/>
          </rPr>
          <t xml:space="preserve">
For NWC and Cash flow, a couple things I could do:
Create theoretical AR / Capex spending numbers once commercialized, but since this feels too speculative simply leaving it out</t>
        </r>
      </text>
    </comment>
    <comment ref="B31" authorId="0" shapeId="0" xr:uid="{00C82A2D-E472-468D-BDF1-AFCB2926023F}">
      <text>
        <r>
          <rPr>
            <b/>
            <sz val="9"/>
            <color indexed="81"/>
            <rFont val="Tahoma"/>
            <family val="2"/>
          </rPr>
          <t>Benjamin Shar:</t>
        </r>
        <r>
          <rPr>
            <sz val="9"/>
            <color indexed="81"/>
            <rFont val="Tahoma"/>
            <family val="2"/>
          </rPr>
          <t xml:space="preserve">
OpEx Growth, during commercialization scaling with revenue
</t>
        </r>
      </text>
    </comment>
    <comment ref="B33" authorId="0" shapeId="0" xr:uid="{E60E0325-A10B-4144-863A-FAC111ADC0D0}">
      <text>
        <r>
          <rPr>
            <b/>
            <sz val="9"/>
            <color indexed="81"/>
            <rFont val="Tahoma"/>
            <family val="2"/>
          </rPr>
          <t>Benjamin Shar:</t>
        </r>
        <r>
          <rPr>
            <sz val="9"/>
            <color indexed="81"/>
            <rFont val="Tahoma"/>
            <family val="2"/>
          </rPr>
          <t xml:space="preserve">
Unable to use DPO so
Opex growth then growing w revenue bc COGS growth = rev growth</t>
        </r>
      </text>
    </comment>
    <comment ref="B34" authorId="0" shapeId="0" xr:uid="{BD5A748A-A07B-451D-9394-40E52DAFA311}">
      <text>
        <r>
          <rPr>
            <b/>
            <sz val="9"/>
            <color indexed="81"/>
            <rFont val="Tahoma"/>
            <family val="2"/>
          </rPr>
          <t>Benjamin Shar:</t>
        </r>
        <r>
          <rPr>
            <sz val="9"/>
            <color indexed="81"/>
            <rFont val="Tahoma"/>
            <family val="2"/>
          </rPr>
          <t xml:space="preserve">
Also grown with OpEx / revenue</t>
        </r>
      </text>
    </comment>
    <comment ref="B46" authorId="0" shapeId="0" xr:uid="{E0C03B2D-AE9D-4A8E-BF87-508540D78D75}">
      <text>
        <r>
          <rPr>
            <b/>
            <sz val="9"/>
            <color indexed="81"/>
            <rFont val="Tahoma"/>
            <family val="2"/>
          </rPr>
          <t>Benjamin Shar:</t>
        </r>
        <r>
          <rPr>
            <sz val="9"/>
            <color indexed="81"/>
            <rFont val="Tahoma"/>
            <family val="2"/>
          </rPr>
          <t xml:space="preserve">
Adding here bc of the way I calculated NWC above</t>
        </r>
      </text>
    </comment>
    <comment ref="B47" authorId="0" shapeId="0" xr:uid="{A9BF9DA1-87FC-47B2-B43F-E0022ECB0B2D}">
      <text>
        <r>
          <rPr>
            <b/>
            <sz val="9"/>
            <color indexed="81"/>
            <rFont val="Tahoma"/>
            <family val="2"/>
          </rPr>
          <t>Benjamin Shar:</t>
        </r>
        <r>
          <rPr>
            <sz val="9"/>
            <color indexed="81"/>
            <rFont val="Tahoma"/>
            <family val="2"/>
          </rPr>
          <t xml:space="preserve">
Assuming D&amp;A falls to CapEx average within 5 years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Benjamin Shar</author>
  </authors>
  <commentList>
    <comment ref="E4" authorId="0" shapeId="0" xr:uid="{4B2D92CE-6DE1-4B48-A331-02B5672AF629}">
      <text>
        <r>
          <rPr>
            <b/>
            <sz val="9"/>
            <color indexed="81"/>
            <rFont val="Tahoma"/>
            <charset val="1"/>
          </rPr>
          <t>Benjamin Shar:</t>
        </r>
        <r>
          <rPr>
            <sz val="9"/>
            <color indexed="81"/>
            <rFont val="Tahoma"/>
            <charset val="1"/>
          </rPr>
          <t xml:space="preserve">
TD Securities revenue build since I don't have a view on commercialization, just PoS</t>
        </r>
      </text>
    </comment>
    <comment ref="R4" authorId="0" shapeId="0" xr:uid="{8E6463B6-C028-4F7B-B5FB-15DABDD63459}">
      <text>
        <r>
          <rPr>
            <b/>
            <sz val="9"/>
            <color indexed="81"/>
            <rFont val="Tahoma"/>
            <charset val="1"/>
          </rPr>
          <t>Benjamin Shar:</t>
        </r>
        <r>
          <rPr>
            <sz val="9"/>
            <color indexed="81"/>
            <rFont val="Tahoma"/>
            <charset val="1"/>
          </rPr>
          <t xml:space="preserve">
This one is just extending TD's estimates, so for HFpEF I extended a 1% annual growthrate as is done by TD
</t>
        </r>
      </text>
    </comment>
    <comment ref="R22" authorId="0" shapeId="0" xr:uid="{08CA6DE7-BBFA-49D2-A58A-F6991B8DAA77}">
      <text>
        <r>
          <rPr>
            <b/>
            <sz val="9"/>
            <color indexed="81"/>
            <rFont val="Tahoma"/>
            <family val="2"/>
          </rPr>
          <t>Benjamin Shar:</t>
        </r>
        <r>
          <rPr>
            <sz val="9"/>
            <color indexed="81"/>
            <rFont val="Tahoma"/>
            <family val="2"/>
          </rPr>
          <t xml:space="preserve">
Growing in line with US sales growth</t>
        </r>
      </text>
    </comment>
  </commentList>
</comments>
</file>

<file path=xl/sharedStrings.xml><?xml version="1.0" encoding="utf-8"?>
<sst xmlns="http://schemas.openxmlformats.org/spreadsheetml/2006/main" count="191" uniqueCount="112">
  <si>
    <t>2025A</t>
  </si>
  <si>
    <t>2026E</t>
  </si>
  <si>
    <t>2027E</t>
  </si>
  <si>
    <t>2028E</t>
  </si>
  <si>
    <t>2029E</t>
  </si>
  <si>
    <t>2030E</t>
  </si>
  <si>
    <t>2031E</t>
  </si>
  <si>
    <t>2032E</t>
  </si>
  <si>
    <t>2033E</t>
  </si>
  <si>
    <t>2034E</t>
  </si>
  <si>
    <t>2035E</t>
  </si>
  <si>
    <t>Bull Case</t>
  </si>
  <si>
    <t>Base Case</t>
  </si>
  <si>
    <t>Bear Case</t>
  </si>
  <si>
    <t>Probability of Success</t>
  </si>
  <si>
    <t>2036E</t>
  </si>
  <si>
    <t>2037E</t>
  </si>
  <si>
    <t>2038E</t>
  </si>
  <si>
    <t>2039E</t>
  </si>
  <si>
    <t>2040E</t>
  </si>
  <si>
    <t>2041E</t>
  </si>
  <si>
    <t>2042E</t>
  </si>
  <si>
    <t>Toggle</t>
  </si>
  <si>
    <t>1 = bull, 2 = base, 3 = bear</t>
  </si>
  <si>
    <t>2022A</t>
  </si>
  <si>
    <t>2023A</t>
  </si>
  <si>
    <t>2024A</t>
  </si>
  <si>
    <t>Income Statement</t>
  </si>
  <si>
    <t>Revenue</t>
  </si>
  <si>
    <t>Operating Expenses</t>
  </si>
  <si>
    <t>Research and development</t>
  </si>
  <si>
    <t>% of revenue</t>
  </si>
  <si>
    <t>Interest Income</t>
  </si>
  <si>
    <t>Interest Expense</t>
  </si>
  <si>
    <t>Sales, general and administrative</t>
  </si>
  <si>
    <t>Other income (expense)</t>
  </si>
  <si>
    <t>Income tax expense</t>
  </si>
  <si>
    <t>Net income (loss)</t>
  </si>
  <si>
    <t>Tax Rate</t>
  </si>
  <si>
    <t>Cost of goods sold</t>
  </si>
  <si>
    <t>Gross Profit</t>
  </si>
  <si>
    <t>COGS % Revenue</t>
  </si>
  <si>
    <t>Gain (loss) before income tax</t>
  </si>
  <si>
    <t>Gain (loss) from operations</t>
  </si>
  <si>
    <t>NWC</t>
  </si>
  <si>
    <t>Prepaid expenses and other</t>
  </si>
  <si>
    <t>Accounts payable</t>
  </si>
  <si>
    <t>Accrued expenses</t>
  </si>
  <si>
    <t>Change to:</t>
  </si>
  <si>
    <t>Prepaid</t>
  </si>
  <si>
    <t>AP</t>
  </si>
  <si>
    <t>AE</t>
  </si>
  <si>
    <t>Cash Flow Summary</t>
  </si>
  <si>
    <t>NOPAT</t>
  </si>
  <si>
    <t>+ D&amp;A</t>
  </si>
  <si>
    <t>+ NWC</t>
  </si>
  <si>
    <t>- Capex</t>
  </si>
  <si>
    <t>Unlevered Free Cash Flow</t>
  </si>
  <si>
    <t>Discount Factor</t>
  </si>
  <si>
    <t>PV of UFCF</t>
  </si>
  <si>
    <t>Share Price</t>
  </si>
  <si>
    <t>Shares Outstanding</t>
  </si>
  <si>
    <t>Cash and Equivalents</t>
  </si>
  <si>
    <t>Debt</t>
  </si>
  <si>
    <t>Enterprise Value</t>
  </si>
  <si>
    <t>WACC Calculation</t>
  </si>
  <si>
    <t>Risk-Free Rate (10Y)</t>
  </si>
  <si>
    <t>Equity Risk Premium</t>
  </si>
  <si>
    <t>Cost of Equity</t>
  </si>
  <si>
    <t>Levered Beta</t>
  </si>
  <si>
    <t>After-Tax Cost of Debt</t>
  </si>
  <si>
    <t>% of Debt in Cap Stack</t>
  </si>
  <si>
    <t>% of Equity in Cap Stack</t>
  </si>
  <si>
    <t>WACC</t>
  </si>
  <si>
    <t>PV of Terminal Value</t>
  </si>
  <si>
    <t>PV of Cash Flows</t>
  </si>
  <si>
    <t>Cash</t>
  </si>
  <si>
    <t>Market Cap</t>
  </si>
  <si>
    <t>Implied Price</t>
  </si>
  <si>
    <t>GGM Terminal Value</t>
  </si>
  <si>
    <t>Risk-Adjusted UFCF</t>
  </si>
  <si>
    <t>TX45 Market Build</t>
  </si>
  <si>
    <t>Fiscal Year Ended Dec 31 ($MM)</t>
  </si>
  <si>
    <t>UNITED STATES</t>
  </si>
  <si>
    <t>PULMONARY HYPERTENSION</t>
  </si>
  <si>
    <t>HFpEF Patients</t>
  </si>
  <si>
    <t>Group 2 PH Patients</t>
  </si>
  <si>
    <t>% Of HFpEF Patients</t>
  </si>
  <si>
    <t>IpcPH Patients</t>
  </si>
  <si>
    <t>% Of Group 2 PH Patients</t>
  </si>
  <si>
    <t>CpcPH Patients</t>
  </si>
  <si>
    <t>Number Of TX45-Treated Patients</t>
  </si>
  <si>
    <t>Net Price Per Patient</t>
  </si>
  <si>
    <t>US Sales Of TX45 ($MM)</t>
  </si>
  <si>
    <t>% Change</t>
  </si>
  <si>
    <t>% Of Total US TX45 Sales</t>
  </si>
  <si>
    <t>Ex-US Sales Of TX45 ($MM)</t>
  </si>
  <si>
    <t>% Of Total Ex-US TX45 Sales</t>
  </si>
  <si>
    <t>Total Global Sales Of TX45 ($MM)</t>
  </si>
  <si>
    <t>← US Launch</t>
  </si>
  <si>
    <t>← Ex-US Launch</t>
  </si>
  <si>
    <t>TX45 Penetration (% of Group 2 PH) — Post-2035E</t>
  </si>
  <si>
    <t>▸ Post-2035 penetration assumptions (toggles with Bull/Base/Bear selector)</t>
  </si>
  <si>
    <t>ASSUMPTIONS</t>
  </si>
  <si>
    <t>Risk-Adjusted TX45 Sales ($MM)</t>
  </si>
  <si>
    <t>* All values in $MMs</t>
  </si>
  <si>
    <t>Cap Table (USD MMs)</t>
  </si>
  <si>
    <t>Valuation (USD MMs)</t>
  </si>
  <si>
    <t>OpEx (Revenue) % Growth</t>
  </si>
  <si>
    <t>Market Capitalization</t>
  </si>
  <si>
    <t>Implied Upside / (Downside)</t>
  </si>
  <si>
    <t>NWC Cash Flow Impact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</si>
</sst>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164" formatCode="0.00%;\(0.00%\)"/>
    <numFmt numFmtId="165" formatCode="0.0%"/>
    <numFmt numFmtId="166" formatCode="&quot;$&quot;#,##0"/>
    <numFmt numFmtId="167" formatCode="&quot;$&quot;#,##0.0"/>
    <numFmt numFmtId="168" formatCode="&quot;$&quot;#,##0.00"/>
  </numFmts>
  <fonts count="3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FF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Aptos Narrow"/>
      <scheme val="minor"/>
    </font>
    <font>
      <b/>
      <sz val="11"/>
      <color theme="1"/>
      <name val="Aptos Narrow"/>
      <scheme val="minor"/>
    </font>
    <font>
      <b/>
      <sz val="11"/>
      <color rgb="FF0000FF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000000"/>
      <name val="Aptos Narrow"/>
      <scheme val="minor"/>
    </font>
    <font>
      <b/>
      <sz val="11"/>
      <color rgb="FF000000"/>
      <name val="Aptos Narrow"/>
      <scheme val="minor"/>
    </font>
    <font>
      <i/>
      <sz val="11"/>
      <color theme="1"/>
      <name val="Aptos Narrow"/>
      <scheme val="minor"/>
    </font>
    <font>
      <i/>
      <sz val="11"/>
      <color rgb="FF000000"/>
      <name val="Aptos Narrow"/>
      <family val="2"/>
      <scheme val="minor"/>
    </font>
    <font>
      <i/>
      <sz val="11"/>
      <color rgb="FF000000"/>
      <name val="Aptos Narrow"/>
      <scheme val="minor"/>
    </font>
    <font>
      <b/>
      <i/>
      <sz val="11"/>
      <color theme="1"/>
      <name val="Aptos Narrow"/>
      <scheme val="minor"/>
    </font>
    <font>
      <b/>
      <i/>
      <sz val="11"/>
      <color rgb="FF000000"/>
      <name val="Aptos Narrow"/>
      <scheme val="minor"/>
    </font>
    <font>
      <sz val="11"/>
      <color rgb="FF0000FF"/>
      <name val="Aptos Narrow"/>
      <scheme val="minor"/>
    </font>
    <font>
      <i/>
      <sz val="11"/>
      <color rgb="FF008000"/>
      <name val="Aptos Narrow"/>
      <scheme val="minor"/>
    </font>
    <font>
      <i/>
      <sz val="11"/>
      <color rgb="FF0000FF"/>
      <name val="Aptos Narrow"/>
      <scheme val="minor"/>
    </font>
    <font>
      <b/>
      <sz val="11"/>
      <color rgb="FF0000FF"/>
      <name val="Aptos Narrow"/>
      <scheme val="minor"/>
    </font>
    <font>
      <i/>
      <sz val="10"/>
      <color rgb="FF595959"/>
      <name val="Aptos Narrow"/>
      <family val="2"/>
      <scheme val="minor"/>
    </font>
    <font>
      <b/>
      <sz val="10"/>
      <color rgb="FFFFFFFF"/>
      <name val="Aptos Narrow"/>
      <scheme val="minor"/>
    </font>
    <font>
      <sz val="10"/>
      <color rgb="FF375623"/>
      <name val="Aptos Narrow"/>
      <scheme val="minor"/>
    </font>
    <font>
      <b/>
      <sz val="10"/>
      <color rgb="FF0000FF"/>
      <name val="Aptos Narrow"/>
      <scheme val="minor"/>
    </font>
    <font>
      <sz val="10"/>
      <color rgb="FF000000"/>
      <name val="Aptos Narrow"/>
      <scheme val="minor"/>
    </font>
    <font>
      <sz val="11"/>
      <color theme="9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1"/>
      <color rgb="FF0429DA"/>
      <name val="Aptos Narrow"/>
      <family val="2"/>
      <scheme val="minor"/>
    </font>
    <font>
      <sz val="11"/>
      <color rgb="FFFFFFFF"/>
      <name val="Aptos Narrow"/>
      <family val="2"/>
      <scheme val="minor"/>
    </font>
    <font>
      <b/>
      <sz val="11"/>
      <color rgb="FFFFFFFF"/>
      <name val="Aptos Narrow"/>
      <scheme val="minor"/>
    </font>
    <font>
      <sz val="11"/>
      <color rgb="FFFFFFFF"/>
      <name val="Aptos Narrow"/>
      <scheme val="minor"/>
    </font>
    <font>
      <sz val="10"/>
      <color rgb="FF021885"/>
      <name val="Aptos Narrow"/>
      <scheme val="minor"/>
    </font>
    <font>
      <sz val="10"/>
      <color rgb="FFF23D04"/>
      <name val="Aptos Narrow"/>
      <scheme val="minor"/>
    </font>
    <font>
      <b/>
      <u/>
      <sz val="11"/>
      <color rgb="FFFFFFFF"/>
      <name val="Aptos Narrow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5999633777886288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429DA"/>
        <bgColor indexed="64"/>
      </patternFill>
    </fill>
    <fill>
      <patternFill patternType="solid">
        <fgColor rgb="FFD0D7FC"/>
        <bgColor indexed="64"/>
      </patternFill>
    </fill>
    <fill>
      <patternFill patternType="solid">
        <fgColor rgb="FF021885"/>
        <bgColor indexed="64"/>
      </patternFill>
    </fill>
    <fill>
      <patternFill patternType="solid">
        <fgColor rgb="FFE0F0E0"/>
        <bgColor indexed="64"/>
      </patternFill>
    </fill>
    <fill>
      <patternFill patternType="solid">
        <fgColor rgb="FFE8ECFB"/>
        <bgColor indexed="64"/>
      </patternFill>
    </fill>
    <fill>
      <patternFill patternType="solid">
        <fgColor rgb="FFFCD5C8"/>
        <bgColor indexed="64"/>
      </patternFill>
    </fill>
    <fill>
      <patternFill patternType="solid">
        <fgColor rgb="FFEAEDFC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21885"/>
      </left>
      <right/>
      <top style="thin">
        <color rgb="FF6B83F0"/>
      </top>
      <bottom style="thin">
        <color rgb="FF6B83F0"/>
      </bottom>
      <diagonal/>
    </border>
    <border>
      <left style="thin">
        <color rgb="FF6B83F0"/>
      </left>
      <right style="medium">
        <color rgb="FF021885"/>
      </right>
      <top style="medium">
        <color rgb="FF021885"/>
      </top>
      <bottom/>
      <diagonal/>
    </border>
    <border>
      <left style="medium">
        <color rgb="FF021885"/>
      </left>
      <right/>
      <top style="thin">
        <color rgb="FF6B83F0"/>
      </top>
      <bottom/>
      <diagonal/>
    </border>
    <border>
      <left/>
      <right/>
      <top style="medium">
        <color rgb="FF021885"/>
      </top>
      <bottom/>
      <diagonal/>
    </border>
    <border>
      <left/>
      <right style="medium">
        <color rgb="FF021885"/>
      </right>
      <top/>
      <bottom/>
      <diagonal/>
    </border>
    <border>
      <left/>
      <right/>
      <top/>
      <bottom style="medium">
        <color rgb="FF0429DA"/>
      </bottom>
      <diagonal/>
    </border>
    <border>
      <left/>
      <right/>
      <top style="thin">
        <color rgb="FF0429DA"/>
      </top>
      <bottom style="thin">
        <color rgb="FF0429DA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6B83F0"/>
      </left>
      <right style="medium">
        <color rgb="FF021885"/>
      </right>
      <top style="thin">
        <color rgb="FF6B83F0"/>
      </top>
      <bottom/>
      <diagonal/>
    </border>
    <border>
      <left style="thin">
        <color rgb="FF6B83F0"/>
      </left>
      <right style="medium">
        <color rgb="FF021885"/>
      </right>
      <top style="thin">
        <color rgb="FF6B83F0"/>
      </top>
      <bottom style="thin">
        <color rgb="FF6B83F0"/>
      </bottom>
      <diagonal/>
    </border>
    <border>
      <left style="medium">
        <color rgb="FF021885"/>
      </left>
      <right/>
      <top style="thin">
        <color rgb="FF6B83F0"/>
      </top>
      <bottom style="medium">
        <color rgb="FF021885"/>
      </bottom>
      <diagonal/>
    </border>
    <border>
      <left style="thin">
        <color rgb="FF6B83F0"/>
      </left>
      <right style="medium">
        <color rgb="FF021885"/>
      </right>
      <top style="thin">
        <color rgb="FF6B83F0"/>
      </top>
      <bottom style="medium">
        <color rgb="FF021885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1" fillId="0" borderId="0" xfId="0" applyFont="1"/>
    <xf numFmtId="10" fontId="0" fillId="0" borderId="0" xfId="0" applyNumberFormat="1"/>
    <xf numFmtId="0" fontId="0" fillId="0" borderId="3" xfId="0" applyBorder="1"/>
    <xf numFmtId="0" fontId="0" fillId="0" borderId="4" xfId="0" applyBorder="1"/>
    <xf numFmtId="0" fontId="0" fillId="0" borderId="3" xfId="0" applyBorder="1" applyAlignment="1">
      <alignment horizontal="left" indent="1"/>
    </xf>
    <xf numFmtId="10" fontId="0" fillId="0" borderId="4" xfId="0" applyNumberFormat="1" applyBorder="1"/>
    <xf numFmtId="0" fontId="1" fillId="0" borderId="5" xfId="0" applyFont="1" applyBorder="1" applyAlignment="1">
      <alignment horizontal="left"/>
    </xf>
    <xf numFmtId="0" fontId="0" fillId="0" borderId="1" xfId="0" applyBorder="1"/>
    <xf numFmtId="0" fontId="0" fillId="2" borderId="0" xfId="0" applyFill="1"/>
    <xf numFmtId="0" fontId="0" fillId="0" borderId="1" xfId="0" applyBorder="1" applyAlignment="1">
      <alignment horizontal="centerContinuous"/>
    </xf>
    <xf numFmtId="0" fontId="0" fillId="0" borderId="2" xfId="0" applyBorder="1" applyAlignment="1">
      <alignment horizontal="centerContinuous"/>
    </xf>
    <xf numFmtId="9" fontId="0" fillId="0" borderId="4" xfId="0" applyNumberFormat="1" applyBorder="1"/>
    <xf numFmtId="9" fontId="2" fillId="0" borderId="0" xfId="0" applyNumberFormat="1" applyFont="1"/>
    <xf numFmtId="9" fontId="0" fillId="0" borderId="0" xfId="0" applyNumberFormat="1"/>
    <xf numFmtId="0" fontId="0" fillId="0" borderId="3" xfId="0" applyBorder="1" applyAlignment="1">
      <alignment horizontal="left"/>
    </xf>
    <xf numFmtId="0" fontId="1" fillId="0" borderId="5" xfId="0" applyFont="1" applyBorder="1"/>
    <xf numFmtId="0" fontId="0" fillId="0" borderId="5" xfId="0" applyBorder="1"/>
    <xf numFmtId="37" fontId="0" fillId="0" borderId="0" xfId="0" applyNumberFormat="1"/>
    <xf numFmtId="37" fontId="1" fillId="0" borderId="0" xfId="0" applyNumberFormat="1" applyFont="1"/>
    <xf numFmtId="0" fontId="1" fillId="0" borderId="3" xfId="0" applyFont="1" applyBorder="1"/>
    <xf numFmtId="37" fontId="0" fillId="0" borderId="4" xfId="0" applyNumberFormat="1" applyBorder="1"/>
    <xf numFmtId="37" fontId="1" fillId="0" borderId="4" xfId="0" applyNumberFormat="1" applyFont="1" applyBorder="1"/>
    <xf numFmtId="0" fontId="0" fillId="0" borderId="3" xfId="0" applyBorder="1" applyAlignment="1">
      <alignment horizontal="left" indent="2"/>
    </xf>
    <xf numFmtId="37" fontId="1" fillId="0" borderId="9" xfId="0" applyNumberFormat="1" applyFont="1" applyBorder="1"/>
    <xf numFmtId="37" fontId="1" fillId="0" borderId="6" xfId="0" applyNumberFormat="1" applyFont="1" applyBorder="1"/>
    <xf numFmtId="0" fontId="0" fillId="0" borderId="3" xfId="0" quotePrefix="1" applyBorder="1"/>
    <xf numFmtId="37" fontId="0" fillId="0" borderId="9" xfId="0" applyNumberFormat="1" applyBorder="1"/>
    <xf numFmtId="37" fontId="0" fillId="0" borderId="6" xfId="0" applyNumberFormat="1" applyBorder="1"/>
    <xf numFmtId="10" fontId="0" fillId="0" borderId="2" xfId="0" applyNumberFormat="1" applyBorder="1"/>
    <xf numFmtId="39" fontId="0" fillId="0" borderId="0" xfId="0" applyNumberFormat="1"/>
    <xf numFmtId="39" fontId="0" fillId="0" borderId="4" xfId="0" applyNumberFormat="1" applyBorder="1"/>
    <xf numFmtId="2" fontId="1" fillId="0" borderId="4" xfId="0" applyNumberFormat="1" applyFont="1" applyBorder="1"/>
    <xf numFmtId="164" fontId="1" fillId="0" borderId="6" xfId="0" applyNumberFormat="1" applyFont="1" applyBorder="1"/>
    <xf numFmtId="0" fontId="7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1" fillId="0" borderId="0" xfId="0" applyFont="1" applyAlignment="1">
      <alignment horizontal="left"/>
    </xf>
    <xf numFmtId="10" fontId="2" fillId="0" borderId="0" xfId="0" applyNumberFormat="1" applyFont="1"/>
    <xf numFmtId="10" fontId="1" fillId="0" borderId="0" xfId="0" applyNumberFormat="1" applyFont="1"/>
    <xf numFmtId="0" fontId="8" fillId="0" borderId="13" xfId="0" applyFont="1" applyBorder="1"/>
    <xf numFmtId="0" fontId="8" fillId="0" borderId="15" xfId="0" applyFont="1" applyBorder="1"/>
    <xf numFmtId="0" fontId="7" fillId="0" borderId="15" xfId="0" applyFont="1" applyBorder="1"/>
    <xf numFmtId="0" fontId="8" fillId="0" borderId="16" xfId="0" applyFont="1" applyBorder="1"/>
    <xf numFmtId="0" fontId="8" fillId="0" borderId="17" xfId="0" applyFont="1" applyBorder="1"/>
    <xf numFmtId="3" fontId="12" fillId="0" borderId="12" xfId="0" applyNumberFormat="1" applyFont="1" applyBorder="1" applyAlignment="1">
      <alignment horizontal="right"/>
    </xf>
    <xf numFmtId="3" fontId="12" fillId="0" borderId="20" xfId="0" applyNumberFormat="1" applyFont="1" applyBorder="1" applyAlignment="1">
      <alignment horizontal="right"/>
    </xf>
    <xf numFmtId="167" fontId="12" fillId="0" borderId="13" xfId="0" applyNumberFormat="1" applyFont="1" applyBorder="1" applyAlignment="1">
      <alignment horizontal="right"/>
    </xf>
    <xf numFmtId="167" fontId="12" fillId="0" borderId="21" xfId="0" applyNumberFormat="1" applyFont="1" applyBorder="1" applyAlignment="1">
      <alignment horizontal="right"/>
    </xf>
    <xf numFmtId="0" fontId="16" fillId="3" borderId="15" xfId="0" applyFont="1" applyFill="1" applyBorder="1"/>
    <xf numFmtId="0" fontId="19" fillId="0" borderId="0" xfId="0" applyFont="1"/>
    <xf numFmtId="0" fontId="19" fillId="0" borderId="0" xfId="0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0" borderId="19" xfId="0" applyNumberFormat="1" applyFont="1" applyBorder="1" applyAlignment="1">
      <alignment horizontal="right"/>
    </xf>
    <xf numFmtId="0" fontId="13" fillId="3" borderId="0" xfId="0" applyFont="1" applyFill="1"/>
    <xf numFmtId="0" fontId="8" fillId="0" borderId="12" xfId="0" applyFont="1" applyBorder="1" applyAlignment="1">
      <alignment horizontal="right"/>
    </xf>
    <xf numFmtId="0" fontId="8" fillId="0" borderId="0" xfId="0" applyFont="1" applyAlignment="1">
      <alignment horizontal="right"/>
    </xf>
    <xf numFmtId="166" fontId="21" fillId="0" borderId="0" xfId="0" applyNumberFormat="1" applyFont="1" applyAlignment="1">
      <alignment horizontal="right"/>
    </xf>
    <xf numFmtId="166" fontId="21" fillId="0" borderId="19" xfId="0" applyNumberFormat="1" applyFont="1" applyBorder="1" applyAlignment="1">
      <alignment horizontal="right"/>
    </xf>
    <xf numFmtId="0" fontId="7" fillId="0" borderId="19" xfId="0" applyFont="1" applyBorder="1"/>
    <xf numFmtId="167" fontId="21" fillId="0" borderId="13" xfId="0" applyNumberFormat="1" applyFont="1" applyBorder="1" applyAlignment="1">
      <alignment horizontal="right"/>
    </xf>
    <xf numFmtId="167" fontId="21" fillId="0" borderId="21" xfId="0" applyNumberFormat="1" applyFont="1" applyBorder="1" applyAlignment="1">
      <alignment horizontal="right"/>
    </xf>
    <xf numFmtId="0" fontId="7" fillId="0" borderId="0" xfId="0" applyFont="1" applyAlignment="1">
      <alignment horizontal="right"/>
    </xf>
    <xf numFmtId="0" fontId="7" fillId="0" borderId="19" xfId="0" applyFont="1" applyBorder="1" applyAlignment="1">
      <alignment horizontal="right"/>
    </xf>
    <xf numFmtId="0" fontId="8" fillId="0" borderId="13" xfId="0" applyFont="1" applyBorder="1" applyAlignment="1">
      <alignment horizontal="right"/>
    </xf>
    <xf numFmtId="0" fontId="8" fillId="4" borderId="17" xfId="0" applyFont="1" applyFill="1" applyBorder="1" applyAlignment="1">
      <alignment horizontal="left"/>
    </xf>
    <xf numFmtId="0" fontId="8" fillId="4" borderId="13" xfId="0" applyFont="1" applyFill="1" applyBorder="1"/>
    <xf numFmtId="167" fontId="12" fillId="4" borderId="13" xfId="0" applyNumberFormat="1" applyFont="1" applyFill="1" applyBorder="1" applyAlignment="1">
      <alignment horizontal="right"/>
    </xf>
    <xf numFmtId="167" fontId="12" fillId="4" borderId="21" xfId="0" applyNumberFormat="1" applyFont="1" applyFill="1" applyBorder="1" applyAlignment="1">
      <alignment horizontal="right"/>
    </xf>
    <xf numFmtId="3" fontId="10" fillId="0" borderId="0" xfId="0" applyNumberFormat="1" applyFont="1" applyAlignment="1">
      <alignment horizontal="right"/>
    </xf>
    <xf numFmtId="37" fontId="8" fillId="0" borderId="12" xfId="0" applyNumberFormat="1" applyFont="1" applyBorder="1"/>
    <xf numFmtId="5" fontId="8" fillId="0" borderId="0" xfId="0" applyNumberFormat="1" applyFont="1"/>
    <xf numFmtId="168" fontId="8" fillId="0" borderId="13" xfId="0" applyNumberFormat="1" applyFont="1" applyBorder="1"/>
    <xf numFmtId="7" fontId="8" fillId="0" borderId="13" xfId="0" applyNumberFormat="1" applyFont="1" applyBorder="1"/>
    <xf numFmtId="9" fontId="2" fillId="5" borderId="0" xfId="0" applyNumberFormat="1" applyFont="1" applyFill="1"/>
    <xf numFmtId="165" fontId="2" fillId="5" borderId="0" xfId="0" applyNumberFormat="1" applyFont="1" applyFill="1" applyAlignment="1">
      <alignment horizontal="right"/>
    </xf>
    <xf numFmtId="9" fontId="1" fillId="5" borderId="0" xfId="0" applyNumberFormat="1" applyFont="1" applyFill="1"/>
    <xf numFmtId="165" fontId="9" fillId="5" borderId="0" xfId="0" applyNumberFormat="1" applyFont="1" applyFill="1" applyAlignment="1">
      <alignment horizontal="right"/>
    </xf>
    <xf numFmtId="9" fontId="0" fillId="5" borderId="0" xfId="0" applyNumberFormat="1" applyFill="1"/>
    <xf numFmtId="0" fontId="0" fillId="5" borderId="15" xfId="0" applyFill="1" applyBorder="1" applyAlignment="1">
      <alignment horizontal="left" indent="1"/>
    </xf>
    <xf numFmtId="0" fontId="1" fillId="5" borderId="15" xfId="0" applyFont="1" applyFill="1" applyBorder="1" applyAlignment="1">
      <alignment horizontal="left"/>
    </xf>
    <xf numFmtId="165" fontId="2" fillId="5" borderId="19" xfId="0" applyNumberFormat="1" applyFont="1" applyFill="1" applyBorder="1" applyAlignment="1">
      <alignment horizontal="right"/>
    </xf>
    <xf numFmtId="165" fontId="9" fillId="5" borderId="19" xfId="0" applyNumberFormat="1" applyFont="1" applyFill="1" applyBorder="1" applyAlignment="1">
      <alignment horizontal="right"/>
    </xf>
    <xf numFmtId="0" fontId="22" fillId="0" borderId="0" xfId="0" applyFont="1" applyAlignment="1">
      <alignment horizontal="left"/>
    </xf>
    <xf numFmtId="165" fontId="26" fillId="0" borderId="0" xfId="0" applyNumberFormat="1" applyFont="1"/>
    <xf numFmtId="37" fontId="2" fillId="0" borderId="0" xfId="0" applyNumberFormat="1" applyFont="1"/>
    <xf numFmtId="37" fontId="18" fillId="0" borderId="0" xfId="0" applyNumberFormat="1" applyFont="1"/>
    <xf numFmtId="37" fontId="10" fillId="0" borderId="0" xfId="0" applyNumberFormat="1" applyFont="1"/>
    <xf numFmtId="37" fontId="11" fillId="0" borderId="0" xfId="0" applyNumberFormat="1" applyFont="1"/>
    <xf numFmtId="37" fontId="11" fillId="0" borderId="4" xfId="0" applyNumberFormat="1" applyFont="1" applyBorder="1"/>
    <xf numFmtId="37" fontId="27" fillId="0" borderId="0" xfId="0" applyNumberFormat="1" applyFont="1"/>
    <xf numFmtId="37" fontId="27" fillId="0" borderId="4" xfId="0" applyNumberFormat="1" applyFont="1" applyBorder="1"/>
    <xf numFmtId="37" fontId="28" fillId="0" borderId="0" xfId="0" applyNumberFormat="1" applyFont="1"/>
    <xf numFmtId="10" fontId="0" fillId="0" borderId="4" xfId="0" applyNumberFormat="1" applyBorder="1" applyAlignment="1">
      <alignment horizontal="right"/>
    </xf>
    <xf numFmtId="0" fontId="31" fillId="6" borderId="0" xfId="0" applyFont="1" applyFill="1"/>
    <xf numFmtId="0" fontId="31" fillId="6" borderId="10" xfId="0" applyFont="1" applyFill="1" applyBorder="1"/>
    <xf numFmtId="0" fontId="31" fillId="6" borderId="8" xfId="0" applyFont="1" applyFill="1" applyBorder="1"/>
    <xf numFmtId="0" fontId="29" fillId="6" borderId="7" xfId="0" applyFont="1" applyFill="1" applyBorder="1"/>
    <xf numFmtId="37" fontId="31" fillId="6" borderId="10" xfId="0" applyNumberFormat="1" applyFont="1" applyFill="1" applyBorder="1"/>
    <xf numFmtId="37" fontId="31" fillId="6" borderId="8" xfId="0" applyNumberFormat="1" applyFont="1" applyFill="1" applyBorder="1"/>
    <xf numFmtId="0" fontId="32" fillId="6" borderId="0" xfId="0" applyFont="1" applyFill="1"/>
    <xf numFmtId="0" fontId="32" fillId="6" borderId="11" xfId="0" applyFont="1" applyFill="1" applyBorder="1" applyAlignment="1">
      <alignment horizontal="center"/>
    </xf>
    <xf numFmtId="0" fontId="32" fillId="6" borderId="18" xfId="0" applyFont="1" applyFill="1" applyBorder="1" applyAlignment="1">
      <alignment horizontal="center"/>
    </xf>
    <xf numFmtId="0" fontId="32" fillId="6" borderId="14" xfId="0" applyFont="1" applyFill="1" applyBorder="1"/>
    <xf numFmtId="0" fontId="24" fillId="9" borderId="22" xfId="0" applyFont="1" applyFill="1" applyBorder="1" applyAlignment="1">
      <alignment horizontal="left" indent="1"/>
    </xf>
    <xf numFmtId="0" fontId="34" fillId="10" borderId="22" xfId="0" applyFont="1" applyFill="1" applyBorder="1" applyAlignment="1">
      <alignment horizontal="left" indent="1"/>
    </xf>
    <xf numFmtId="0" fontId="33" fillId="8" borderId="23" xfId="0" applyFont="1" applyFill="1" applyBorder="1"/>
    <xf numFmtId="0" fontId="23" fillId="8" borderId="25" xfId="0" applyFont="1" applyFill="1" applyBorder="1" applyAlignment="1">
      <alignment horizontal="center"/>
    </xf>
    <xf numFmtId="0" fontId="0" fillId="0" borderId="26" xfId="0" applyBorder="1"/>
    <xf numFmtId="0" fontId="29" fillId="6" borderId="5" xfId="0" applyFont="1" applyFill="1" applyBorder="1" applyAlignment="1">
      <alignment horizontal="centerContinuous"/>
    </xf>
    <xf numFmtId="0" fontId="29" fillId="6" borderId="6" xfId="0" applyFont="1" applyFill="1" applyBorder="1" applyAlignment="1">
      <alignment horizontal="centerContinuous"/>
    </xf>
    <xf numFmtId="0" fontId="0" fillId="0" borderId="27" xfId="0" applyBorder="1"/>
    <xf numFmtId="0" fontId="30" fillId="7" borderId="3" xfId="0" applyFont="1" applyFill="1" applyBorder="1" applyAlignment="1">
      <alignment horizontal="center"/>
    </xf>
    <xf numFmtId="0" fontId="30" fillId="7" borderId="4" xfId="0" applyFont="1" applyFill="1" applyBorder="1" applyAlignment="1">
      <alignment horizontal="center"/>
    </xf>
    <xf numFmtId="0" fontId="31" fillId="6" borderId="6" xfId="0" applyFont="1" applyFill="1" applyBorder="1" applyAlignment="1">
      <alignment horizontal="centerContinuous"/>
    </xf>
    <xf numFmtId="0" fontId="0" fillId="0" borderId="28" xfId="0" applyBorder="1"/>
    <xf numFmtId="0" fontId="29" fillId="6" borderId="29" xfId="0" applyFont="1" applyFill="1" applyBorder="1" applyAlignment="1">
      <alignment horizontal="centerContinuous"/>
    </xf>
    <xf numFmtId="10" fontId="1" fillId="0" borderId="4" xfId="0" applyNumberFormat="1" applyFont="1" applyBorder="1"/>
    <xf numFmtId="0" fontId="31" fillId="8" borderId="1" xfId="0" applyFont="1" applyFill="1" applyBorder="1"/>
    <xf numFmtId="0" fontId="31" fillId="8" borderId="0" xfId="0" applyFont="1" applyFill="1"/>
    <xf numFmtId="0" fontId="32" fillId="8" borderId="15" xfId="0" applyFont="1" applyFill="1" applyBorder="1"/>
    <xf numFmtId="0" fontId="33" fillId="8" borderId="0" xfId="0" applyFont="1" applyFill="1"/>
    <xf numFmtId="0" fontId="33" fillId="8" borderId="19" xfId="0" applyFont="1" applyFill="1" applyBorder="1"/>
    <xf numFmtId="0" fontId="36" fillId="8" borderId="15" xfId="0" applyFont="1" applyFill="1" applyBorder="1"/>
    <xf numFmtId="0" fontId="23" fillId="8" borderId="22" xfId="0" applyFont="1" applyFill="1" applyBorder="1" applyAlignment="1">
      <alignment horizontal="left" indent="1"/>
    </xf>
    <xf numFmtId="0" fontId="33" fillId="8" borderId="31" xfId="0" applyFont="1" applyFill="1" applyBorder="1"/>
    <xf numFmtId="165" fontId="25" fillId="9" borderId="31" xfId="0" applyNumberFormat="1" applyFont="1" applyFill="1" applyBorder="1" applyAlignment="1">
      <alignment horizontal="center"/>
    </xf>
    <xf numFmtId="165" fontId="25" fillId="10" borderId="31" xfId="0" applyNumberFormat="1" applyFont="1" applyFill="1" applyBorder="1" applyAlignment="1">
      <alignment horizontal="center"/>
    </xf>
    <xf numFmtId="0" fontId="35" fillId="11" borderId="24" xfId="0" applyFont="1" applyFill="1" applyBorder="1" applyAlignment="1">
      <alignment horizontal="left" indent="1"/>
    </xf>
    <xf numFmtId="165" fontId="25" fillId="11" borderId="30" xfId="0" applyNumberFormat="1" applyFont="1" applyFill="1" applyBorder="1" applyAlignment="1">
      <alignment horizontal="center"/>
    </xf>
    <xf numFmtId="0" fontId="31" fillId="8" borderId="24" xfId="0" applyFont="1" applyFill="1" applyBorder="1"/>
    <xf numFmtId="0" fontId="23" fillId="8" borderId="32" xfId="0" applyFont="1" applyFill="1" applyBorder="1" applyAlignment="1">
      <alignment horizontal="left" indent="1"/>
    </xf>
    <xf numFmtId="0" fontId="31" fillId="8" borderId="30" xfId="0" applyFont="1" applyFill="1" applyBorder="1"/>
    <xf numFmtId="165" fontId="23" fillId="8" borderId="33" xfId="0" applyNumberFormat="1" applyFont="1" applyFill="1" applyBorder="1" applyAlignment="1">
      <alignment horizontal="center"/>
    </xf>
    <xf numFmtId="0" fontId="7" fillId="12" borderId="16" xfId="0" applyFont="1" applyFill="1" applyBorder="1"/>
    <xf numFmtId="0" fontId="13" fillId="12" borderId="15" xfId="0" applyFont="1" applyFill="1" applyBorder="1"/>
    <xf numFmtId="0" fontId="13" fillId="12" borderId="0" xfId="0" applyFont="1" applyFill="1"/>
    <xf numFmtId="0" fontId="16" fillId="12" borderId="15" xfId="0" applyFont="1" applyFill="1" applyBorder="1"/>
    <xf numFmtId="3" fontId="18" fillId="12" borderId="12" xfId="0" applyNumberFormat="1" applyFont="1" applyFill="1" applyBorder="1" applyAlignment="1">
      <alignment horizontal="right"/>
    </xf>
    <xf numFmtId="3" fontId="18" fillId="12" borderId="20" xfId="0" applyNumberFormat="1" applyFont="1" applyFill="1" applyBorder="1" applyAlignment="1">
      <alignment horizontal="right"/>
    </xf>
    <xf numFmtId="9" fontId="20" fillId="12" borderId="0" xfId="0" applyNumberFormat="1" applyFont="1" applyFill="1" applyAlignment="1">
      <alignment horizontal="right"/>
    </xf>
    <xf numFmtId="9" fontId="15" fillId="12" borderId="0" xfId="0" applyNumberFormat="1" applyFont="1" applyFill="1" applyAlignment="1">
      <alignment horizontal="right"/>
    </xf>
    <xf numFmtId="9" fontId="15" fillId="12" borderId="19" xfId="0" applyNumberFormat="1" applyFont="1" applyFill="1" applyBorder="1" applyAlignment="1">
      <alignment horizontal="right"/>
    </xf>
    <xf numFmtId="0" fontId="13" fillId="12" borderId="0" xfId="0" applyFont="1" applyFill="1" applyAlignment="1">
      <alignment horizontal="right"/>
    </xf>
    <xf numFmtId="165" fontId="20" fillId="12" borderId="0" xfId="0" applyNumberFormat="1" applyFont="1" applyFill="1" applyAlignment="1">
      <alignment horizontal="right"/>
    </xf>
    <xf numFmtId="165" fontId="20" fillId="12" borderId="19" xfId="0" applyNumberFormat="1" applyFont="1" applyFill="1" applyBorder="1" applyAlignment="1">
      <alignment horizontal="right"/>
    </xf>
    <xf numFmtId="37" fontId="7" fillId="12" borderId="12" xfId="0" applyNumberFormat="1" applyFont="1" applyFill="1" applyBorder="1"/>
    <xf numFmtId="9" fontId="13" fillId="12" borderId="0" xfId="0" applyNumberFormat="1" applyFont="1" applyFill="1"/>
    <xf numFmtId="165" fontId="14" fillId="12" borderId="0" xfId="0" applyNumberFormat="1" applyFont="1" applyFill="1" applyAlignment="1">
      <alignment horizontal="right"/>
    </xf>
    <xf numFmtId="0" fontId="29" fillId="6" borderId="17" xfId="0" applyFont="1" applyFill="1" applyBorder="1" applyAlignment="1">
      <alignment horizontal="left" indent="1"/>
    </xf>
    <xf numFmtId="9" fontId="31" fillId="6" borderId="13" xfId="0" applyNumberFormat="1" applyFont="1" applyFill="1" applyBorder="1"/>
    <xf numFmtId="9" fontId="29" fillId="6" borderId="13" xfId="0" applyNumberFormat="1" applyFont="1" applyFill="1" applyBorder="1" applyAlignment="1">
      <alignment horizontal="center"/>
    </xf>
    <xf numFmtId="9" fontId="29" fillId="6" borderId="21" xfId="0" applyNumberFormat="1" applyFont="1" applyFill="1" applyBorder="1" applyAlignment="1">
      <alignment horizontal="center"/>
    </xf>
    <xf numFmtId="9" fontId="17" fillId="12" borderId="0" xfId="0" applyNumberFormat="1" applyFont="1" applyFill="1" applyAlignment="1">
      <alignment horizontal="right"/>
    </xf>
    <xf numFmtId="9" fontId="17" fillId="12" borderId="19" xfId="0" applyNumberFormat="1" applyFont="1" applyFill="1" applyBorder="1" applyAlignment="1">
      <alignment horizontal="right"/>
    </xf>
    <xf numFmtId="0" fontId="29" fillId="8" borderId="17" xfId="0" applyFont="1" applyFill="1" applyBorder="1" applyAlignment="1">
      <alignment horizontal="left"/>
    </xf>
    <xf numFmtId="0" fontId="29" fillId="8" borderId="13" xfId="0" applyFont="1" applyFill="1" applyBorder="1"/>
    <xf numFmtId="165" fontId="29" fillId="8" borderId="13" xfId="0" applyNumberFormat="1" applyFont="1" applyFill="1" applyBorder="1" applyAlignment="1">
      <alignment horizontal="right"/>
    </xf>
    <xf numFmtId="165" fontId="29" fillId="8" borderId="21" xfId="0" applyNumberFormat="1" applyFont="1" applyFill="1" applyBorder="1" applyAlignment="1">
      <alignment horizontal="right"/>
    </xf>
    <xf numFmtId="0" fontId="29" fillId="6" borderId="7" xfId="0" applyFont="1" applyFill="1" applyBorder="1" applyAlignment="1">
      <alignment horizontal="left"/>
    </xf>
    <xf numFmtId="37" fontId="29" fillId="6" borderId="10" xfId="0" applyNumberFormat="1" applyFont="1" applyFill="1" applyBorder="1"/>
    <xf numFmtId="37" fontId="29" fillId="6" borderId="8" xfId="0" applyNumberFormat="1" applyFont="1" applyFill="1" applyBorder="1"/>
    <xf numFmtId="0" fontId="31" fillId="8" borderId="3" xfId="0" applyFont="1" applyFill="1" applyBorder="1"/>
    <xf numFmtId="0" fontId="31" fillId="8" borderId="4" xfId="0" applyFont="1" applyFill="1" applyBorder="1"/>
    <xf numFmtId="0" fontId="2" fillId="0" borderId="2" xfId="0" applyFont="1" applyBorder="1"/>
    <xf numFmtId="37" fontId="2" fillId="0" borderId="4" xfId="0" applyNumberFormat="1" applyFont="1" applyBorder="1"/>
    <xf numFmtId="0" fontId="2" fillId="0" borderId="4" xfId="0" applyFont="1" applyBorder="1"/>
    <xf numFmtId="10" fontId="2" fillId="0" borderId="2" xfId="0" applyNumberFormat="1" applyFont="1" applyBorder="1"/>
    <xf numFmtId="10" fontId="2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38" row="3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A534F165-2B3C-44C5-82C5-33E03539A11A}">
  <we:reference id="wa200009404" version="1.0.0.8" store="en-US" storeType="OMEX"/>
  <we:alternateReferences>
    <we:reference id="wa200009404" version="1.0.0.8" store="" storeType="OMEX"/>
  </we:alternateReferences>
  <we:properties>
    <we:property name="claude.fileId" value="&quot;005c4fd4-6df0-41c0-a37b-70763583f2ca&quot;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02302-B002-40BD-B4E1-EBABDB400CAE}">
  <dimension ref="B1:C34"/>
  <sheetViews>
    <sheetView showGridLines="0" tabSelected="1" topLeftCell="B1" zoomScale="90" workbookViewId="0">
      <selection activeCell="C7" sqref="C7"/>
    </sheetView>
  </sheetViews>
  <sheetFormatPr defaultRowHeight="14.4" x14ac:dyDescent="0.3"/>
  <cols>
    <col min="1" max="1" width="2.77734375" customWidth="1"/>
    <col min="2" max="2" width="30.77734375" customWidth="1"/>
    <col min="3" max="3" width="15.77734375" customWidth="1"/>
  </cols>
  <sheetData>
    <row r="1" spans="2:3" ht="15" thickBot="1" x14ac:dyDescent="0.35">
      <c r="B1" s="111"/>
      <c r="C1" s="111"/>
    </row>
    <row r="2" spans="2:3" x14ac:dyDescent="0.3">
      <c r="B2" s="109" t="s">
        <v>22</v>
      </c>
      <c r="C2" s="110"/>
    </row>
    <row r="3" spans="2:3" x14ac:dyDescent="0.3">
      <c r="B3" s="10" t="s">
        <v>23</v>
      </c>
      <c r="C3" s="11"/>
    </row>
    <row r="4" spans="2:3" x14ac:dyDescent="0.3">
      <c r="B4" s="112">
        <v>3</v>
      </c>
      <c r="C4" s="113" t="str">
        <f>CHOOSE(B4, "BULL CASE", "BASE CASE", "BEAR CASE")</f>
        <v>BEAR CASE</v>
      </c>
    </row>
    <row r="5" spans="2:3" x14ac:dyDescent="0.3">
      <c r="B5" s="115"/>
      <c r="C5" s="115"/>
    </row>
    <row r="6" spans="2:3" x14ac:dyDescent="0.3">
      <c r="B6" s="109" t="s">
        <v>106</v>
      </c>
      <c r="C6" s="114"/>
    </row>
    <row r="7" spans="2:3" x14ac:dyDescent="0.3">
      <c r="B7" s="8" t="s">
        <v>60</v>
      </c>
      <c r="C7" s="164">
        <v>27.5</v>
      </c>
    </row>
    <row r="8" spans="2:3" x14ac:dyDescent="0.3">
      <c r="B8" s="3" t="s">
        <v>61</v>
      </c>
      <c r="C8" s="165">
        <v>18.776</v>
      </c>
    </row>
    <row r="9" spans="2:3" x14ac:dyDescent="0.3">
      <c r="B9" s="20" t="s">
        <v>109</v>
      </c>
      <c r="C9" s="22">
        <f>C7*C8</f>
        <v>516.34</v>
      </c>
    </row>
    <row r="10" spans="2:3" x14ac:dyDescent="0.3">
      <c r="B10" s="3" t="s">
        <v>62</v>
      </c>
      <c r="C10" s="165">
        <v>253.798</v>
      </c>
    </row>
    <row r="11" spans="2:3" x14ac:dyDescent="0.3">
      <c r="B11" s="3" t="s">
        <v>63</v>
      </c>
      <c r="C11" s="166">
        <v>0</v>
      </c>
    </row>
    <row r="12" spans="2:3" x14ac:dyDescent="0.3">
      <c r="B12" s="3" t="s">
        <v>64</v>
      </c>
      <c r="C12" s="21">
        <f>C9-C10+C11</f>
        <v>262.54200000000003</v>
      </c>
    </row>
    <row r="13" spans="2:3" x14ac:dyDescent="0.3">
      <c r="B13" s="115"/>
      <c r="C13" s="115"/>
    </row>
    <row r="14" spans="2:3" x14ac:dyDescent="0.3">
      <c r="B14" s="109" t="s">
        <v>65</v>
      </c>
      <c r="C14" s="116"/>
    </row>
    <row r="15" spans="2:3" x14ac:dyDescent="0.3">
      <c r="B15" s="8" t="s">
        <v>66</v>
      </c>
      <c r="C15" s="167">
        <v>4.2999999999999997E-2</v>
      </c>
    </row>
    <row r="16" spans="2:3" x14ac:dyDescent="0.3">
      <c r="B16" s="3" t="s">
        <v>67</v>
      </c>
      <c r="C16" s="168">
        <v>4.4600000000000001E-2</v>
      </c>
    </row>
    <row r="17" spans="2:3" x14ac:dyDescent="0.3">
      <c r="B17" s="3" t="s">
        <v>69</v>
      </c>
      <c r="C17" s="166">
        <v>1.59</v>
      </c>
    </row>
    <row r="18" spans="2:3" x14ac:dyDescent="0.3">
      <c r="B18" s="3" t="s">
        <v>68</v>
      </c>
      <c r="C18" s="6">
        <f>C15+(C16*C17)</f>
        <v>0.113914</v>
      </c>
    </row>
    <row r="19" spans="2:3" x14ac:dyDescent="0.3">
      <c r="B19" s="3" t="s">
        <v>70</v>
      </c>
      <c r="C19" s="93">
        <f>(3.76%+2.5%)*(1-0.25)</f>
        <v>4.6949999999999992E-2</v>
      </c>
    </row>
    <row r="20" spans="2:3" x14ac:dyDescent="0.3">
      <c r="B20" s="3" t="s">
        <v>71</v>
      </c>
      <c r="C20" s="12">
        <f>C11/(C9+C11)</f>
        <v>0</v>
      </c>
    </row>
    <row r="21" spans="2:3" x14ac:dyDescent="0.3">
      <c r="B21" s="3" t="s">
        <v>72</v>
      </c>
      <c r="C21" s="12">
        <f>C9/(C9+C11)</f>
        <v>1</v>
      </c>
    </row>
    <row r="22" spans="2:3" x14ac:dyDescent="0.3">
      <c r="B22" s="20" t="s">
        <v>73</v>
      </c>
      <c r="C22" s="117">
        <f>C18*(C21/(C21+C20)+C19*(C20/(C21+C20)))</f>
        <v>0.113914</v>
      </c>
    </row>
    <row r="23" spans="2:3" x14ac:dyDescent="0.3">
      <c r="B23" s="115"/>
      <c r="C23" s="115"/>
    </row>
    <row r="24" spans="2:3" x14ac:dyDescent="0.3">
      <c r="B24" s="109" t="s">
        <v>107</v>
      </c>
      <c r="C24" s="116"/>
    </row>
    <row r="25" spans="2:3" x14ac:dyDescent="0.3">
      <c r="B25" s="8" t="s">
        <v>73</v>
      </c>
      <c r="C25" s="29">
        <f>C22</f>
        <v>0.113914</v>
      </c>
    </row>
    <row r="26" spans="2:3" x14ac:dyDescent="0.3">
      <c r="B26" s="20" t="s">
        <v>79</v>
      </c>
      <c r="C26" s="22">
        <f>((DCF!W49)*(1.01))/(C25-0.01)</f>
        <v>945.97004911986119</v>
      </c>
    </row>
    <row r="27" spans="2:3" x14ac:dyDescent="0.3">
      <c r="B27" s="3" t="s">
        <v>74</v>
      </c>
      <c r="C27" s="21">
        <f>C26/(1+C25)^17</f>
        <v>151.14685908134973</v>
      </c>
    </row>
    <row r="28" spans="2:3" x14ac:dyDescent="0.3">
      <c r="B28" s="3" t="s">
        <v>75</v>
      </c>
      <c r="C28" s="21">
        <f>SUM(DCF!G51:W51)</f>
        <v>269.16581780375299</v>
      </c>
    </row>
    <row r="29" spans="2:3" x14ac:dyDescent="0.3">
      <c r="B29" s="20" t="s">
        <v>64</v>
      </c>
      <c r="C29" s="22">
        <f>C27+C28</f>
        <v>420.31267688510275</v>
      </c>
    </row>
    <row r="30" spans="2:3" x14ac:dyDescent="0.3">
      <c r="B30" s="3" t="s">
        <v>63</v>
      </c>
      <c r="C30" s="21">
        <f>C11</f>
        <v>0</v>
      </c>
    </row>
    <row r="31" spans="2:3" x14ac:dyDescent="0.3">
      <c r="B31" s="3" t="s">
        <v>76</v>
      </c>
      <c r="C31" s="21">
        <f>C10</f>
        <v>253.798</v>
      </c>
    </row>
    <row r="32" spans="2:3" x14ac:dyDescent="0.3">
      <c r="B32" s="20" t="s">
        <v>77</v>
      </c>
      <c r="C32" s="22">
        <f>C29+C31-C30</f>
        <v>674.11067688510275</v>
      </c>
    </row>
    <row r="33" spans="2:3" x14ac:dyDescent="0.3">
      <c r="B33" s="20" t="s">
        <v>78</v>
      </c>
      <c r="C33" s="32">
        <f>C32/C8</f>
        <v>35.902784239726394</v>
      </c>
    </row>
    <row r="34" spans="2:3" x14ac:dyDescent="0.3">
      <c r="B34" s="16" t="s">
        <v>110</v>
      </c>
      <c r="C34" s="33">
        <f>C33/C7-1</f>
        <v>0.3055557905355053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9AED3-FCF1-4F91-8D40-CEABF190C3E9}">
  <dimension ref="A1:W51"/>
  <sheetViews>
    <sheetView showGridLines="0" zoomScale="82" workbookViewId="0">
      <selection activeCell="B17" sqref="B17"/>
    </sheetView>
  </sheetViews>
  <sheetFormatPr defaultColWidth="15.77734375" defaultRowHeight="14.4" x14ac:dyDescent="0.3"/>
  <cols>
    <col min="1" max="1" width="2.77734375" customWidth="1"/>
    <col min="2" max="2" width="30.77734375" customWidth="1"/>
    <col min="3" max="16384" width="15.77734375" style="18"/>
  </cols>
  <sheetData>
    <row r="1" spans="1:23" customFormat="1" x14ac:dyDescent="0.3"/>
    <row r="2" spans="1:23" customFormat="1" x14ac:dyDescent="0.3">
      <c r="B2" t="s">
        <v>105</v>
      </c>
    </row>
    <row r="3" spans="1:23" customFormat="1" x14ac:dyDescent="0.3">
      <c r="B3" s="94"/>
      <c r="C3" s="94" t="s">
        <v>24</v>
      </c>
      <c r="D3" s="94" t="s">
        <v>25</v>
      </c>
      <c r="E3" s="94" t="s">
        <v>26</v>
      </c>
      <c r="F3" s="94" t="s">
        <v>0</v>
      </c>
      <c r="G3" s="94" t="s">
        <v>1</v>
      </c>
      <c r="H3" s="94" t="s">
        <v>2</v>
      </c>
      <c r="I3" s="94" t="s">
        <v>3</v>
      </c>
      <c r="J3" s="94" t="s">
        <v>4</v>
      </c>
      <c r="K3" s="94" t="s">
        <v>5</v>
      </c>
      <c r="L3" s="94" t="s">
        <v>6</v>
      </c>
      <c r="M3" s="94" t="s">
        <v>7</v>
      </c>
      <c r="N3" s="94" t="s">
        <v>8</v>
      </c>
      <c r="O3" s="94" t="s">
        <v>9</v>
      </c>
      <c r="P3" s="94" t="s">
        <v>10</v>
      </c>
      <c r="Q3" s="94" t="s">
        <v>15</v>
      </c>
      <c r="R3" s="94" t="s">
        <v>16</v>
      </c>
      <c r="S3" s="94" t="s">
        <v>17</v>
      </c>
      <c r="T3" s="94" t="s">
        <v>18</v>
      </c>
      <c r="U3" s="94" t="s">
        <v>19</v>
      </c>
      <c r="V3" s="94" t="s">
        <v>20</v>
      </c>
      <c r="W3" s="94" t="s">
        <v>21</v>
      </c>
    </row>
    <row r="4" spans="1:23" customFormat="1" x14ac:dyDescent="0.3"/>
    <row r="5" spans="1:23" customFormat="1" x14ac:dyDescent="0.3">
      <c r="B5" s="97" t="s">
        <v>27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6"/>
    </row>
    <row r="6" spans="1:23" customFormat="1" x14ac:dyDescent="0.3">
      <c r="B6" s="3"/>
      <c r="W6" s="4"/>
    </row>
    <row r="7" spans="1:23" x14ac:dyDescent="0.3">
      <c r="B7" s="20" t="s">
        <v>28</v>
      </c>
      <c r="C7" s="18">
        <v>0</v>
      </c>
      <c r="D7" s="18">
        <f>C7</f>
        <v>0</v>
      </c>
      <c r="E7" s="18">
        <f t="shared" ref="E7:F7" si="0">D7</f>
        <v>0</v>
      </c>
      <c r="F7" s="18">
        <f t="shared" si="0"/>
        <v>0</v>
      </c>
      <c r="G7" s="90">
        <f>RPM!H26</f>
        <v>0</v>
      </c>
      <c r="H7" s="90">
        <f>RPM!I26</f>
        <v>0</v>
      </c>
      <c r="I7" s="90">
        <f>RPM!J26</f>
        <v>0</v>
      </c>
      <c r="J7" s="90">
        <f>RPM!K26</f>
        <v>125</v>
      </c>
      <c r="K7" s="90">
        <f>RPM!L26</f>
        <v>420</v>
      </c>
      <c r="L7" s="90">
        <f>RPM!M26</f>
        <v>780</v>
      </c>
      <c r="M7" s="90">
        <f>RPM!N26</f>
        <v>1175</v>
      </c>
      <c r="N7" s="90">
        <f>RPM!O26</f>
        <v>1600</v>
      </c>
      <c r="O7" s="90">
        <f>RPM!P26</f>
        <v>2050</v>
      </c>
      <c r="P7" s="90">
        <f>RPM!Q26</f>
        <v>2540</v>
      </c>
      <c r="Q7" s="90">
        <f>RPM!R26</f>
        <v>2509.5949195723292</v>
      </c>
      <c r="R7" s="90">
        <f>RPM!S26</f>
        <v>2473.324668787352</v>
      </c>
      <c r="S7" s="90">
        <f>RPM!T26</f>
        <v>2430.0552277761785</v>
      </c>
      <c r="T7" s="90">
        <f>RPM!U26</f>
        <v>2527.9864534555581</v>
      </c>
      <c r="U7" s="90">
        <f>RPM!V26</f>
        <v>2475.1664070868874</v>
      </c>
      <c r="V7" s="90">
        <f>RPM!W26</f>
        <v>1931.1867099693663</v>
      </c>
      <c r="W7" s="91">
        <f>RPM!X26</f>
        <v>1674.1779453176105</v>
      </c>
    </row>
    <row r="8" spans="1:23" x14ac:dyDescent="0.3">
      <c r="B8" s="15" t="s">
        <v>39</v>
      </c>
      <c r="G8" s="85">
        <v>0</v>
      </c>
      <c r="H8" s="85">
        <f>G8</f>
        <v>0</v>
      </c>
      <c r="I8" s="85">
        <f>H8</f>
        <v>0</v>
      </c>
      <c r="J8" s="18">
        <f t="shared" ref="J8:W8" si="1">$C$9*J7</f>
        <v>18.75</v>
      </c>
      <c r="K8" s="18">
        <f t="shared" si="1"/>
        <v>63</v>
      </c>
      <c r="L8" s="18">
        <f t="shared" si="1"/>
        <v>117</v>
      </c>
      <c r="M8" s="18">
        <f t="shared" si="1"/>
        <v>176.25</v>
      </c>
      <c r="N8" s="18">
        <f t="shared" si="1"/>
        <v>240</v>
      </c>
      <c r="O8" s="18">
        <f t="shared" si="1"/>
        <v>307.5</v>
      </c>
      <c r="P8" s="18">
        <f t="shared" si="1"/>
        <v>381</v>
      </c>
      <c r="Q8" s="18">
        <f t="shared" si="1"/>
        <v>376.43923793584935</v>
      </c>
      <c r="R8" s="18">
        <f t="shared" si="1"/>
        <v>370.99870031810281</v>
      </c>
      <c r="S8" s="18">
        <f t="shared" si="1"/>
        <v>364.50828416642679</v>
      </c>
      <c r="T8" s="18">
        <f t="shared" si="1"/>
        <v>379.19796801833371</v>
      </c>
      <c r="U8" s="18">
        <f t="shared" si="1"/>
        <v>371.27496106303312</v>
      </c>
      <c r="V8" s="18">
        <f t="shared" si="1"/>
        <v>289.67800649540493</v>
      </c>
      <c r="W8" s="21">
        <f t="shared" si="1"/>
        <v>251.12669179764157</v>
      </c>
    </row>
    <row r="9" spans="1:23" x14ac:dyDescent="0.3">
      <c r="B9" s="5" t="s">
        <v>41</v>
      </c>
      <c r="C9" s="13">
        <v>0.15</v>
      </c>
      <c r="W9" s="21"/>
    </row>
    <row r="10" spans="1:23" s="19" customFormat="1" x14ac:dyDescent="0.3">
      <c r="A10" s="1"/>
      <c r="B10" s="20" t="s">
        <v>40</v>
      </c>
      <c r="C10" s="19">
        <f t="shared" ref="C10:J10" si="2">C7-C8</f>
        <v>0</v>
      </c>
      <c r="D10" s="19">
        <f t="shared" si="2"/>
        <v>0</v>
      </c>
      <c r="E10" s="19">
        <f t="shared" si="2"/>
        <v>0</v>
      </c>
      <c r="F10" s="19">
        <f t="shared" si="2"/>
        <v>0</v>
      </c>
      <c r="G10" s="19">
        <f t="shared" si="2"/>
        <v>0</v>
      </c>
      <c r="H10" s="19">
        <f t="shared" si="2"/>
        <v>0</v>
      </c>
      <c r="I10" s="19">
        <f t="shared" si="2"/>
        <v>0</v>
      </c>
      <c r="J10" s="19">
        <f t="shared" si="2"/>
        <v>106.25</v>
      </c>
      <c r="K10" s="19">
        <f t="shared" ref="K10:W10" si="3">K7-K8</f>
        <v>357</v>
      </c>
      <c r="L10" s="19">
        <f t="shared" si="3"/>
        <v>663</v>
      </c>
      <c r="M10" s="19">
        <f t="shared" si="3"/>
        <v>998.75</v>
      </c>
      <c r="N10" s="19">
        <f t="shared" si="3"/>
        <v>1360</v>
      </c>
      <c r="O10" s="19">
        <f t="shared" si="3"/>
        <v>1742.5</v>
      </c>
      <c r="P10" s="19">
        <f t="shared" si="3"/>
        <v>2159</v>
      </c>
      <c r="Q10" s="19">
        <f t="shared" si="3"/>
        <v>2133.15568163648</v>
      </c>
      <c r="R10" s="19">
        <f t="shared" si="3"/>
        <v>2102.3259684692493</v>
      </c>
      <c r="S10" s="19">
        <f t="shared" si="3"/>
        <v>2065.5469436097519</v>
      </c>
      <c r="T10" s="19">
        <f t="shared" si="3"/>
        <v>2148.7884854372246</v>
      </c>
      <c r="U10" s="19">
        <f t="shared" si="3"/>
        <v>2103.8914460238543</v>
      </c>
      <c r="V10" s="19">
        <f t="shared" si="3"/>
        <v>1641.5087034739613</v>
      </c>
      <c r="W10" s="22">
        <f t="shared" si="3"/>
        <v>1423.0512535199689</v>
      </c>
    </row>
    <row r="11" spans="1:23" x14ac:dyDescent="0.3">
      <c r="B11" s="3"/>
      <c r="W11" s="21"/>
    </row>
    <row r="12" spans="1:23" x14ac:dyDescent="0.3">
      <c r="B12" s="3" t="s">
        <v>29</v>
      </c>
      <c r="W12" s="21"/>
    </row>
    <row r="13" spans="1:23" x14ac:dyDescent="0.3">
      <c r="B13" s="5" t="s">
        <v>30</v>
      </c>
      <c r="C13" s="85">
        <v>25.654</v>
      </c>
      <c r="D13" s="85">
        <v>36.97</v>
      </c>
      <c r="E13" s="85">
        <v>41.363999999999997</v>
      </c>
      <c r="F13" s="85">
        <v>63.488999999999997</v>
      </c>
      <c r="G13" s="86">
        <v>85</v>
      </c>
      <c r="H13" s="86">
        <v>125</v>
      </c>
      <c r="I13" s="86">
        <v>165</v>
      </c>
      <c r="J13" s="86">
        <v>205</v>
      </c>
      <c r="K13" s="86">
        <v>245</v>
      </c>
      <c r="L13" s="86">
        <v>225</v>
      </c>
      <c r="M13" s="86">
        <v>205</v>
      </c>
      <c r="N13" s="86">
        <v>275</v>
      </c>
      <c r="O13" s="86">
        <v>355</v>
      </c>
      <c r="P13" s="86">
        <v>435</v>
      </c>
      <c r="Q13" s="88">
        <f t="shared" ref="Q13:W13" si="4">ROUND(Q14*Q7,1)</f>
        <v>301.2</v>
      </c>
      <c r="R13" s="88">
        <f t="shared" si="4"/>
        <v>296.8</v>
      </c>
      <c r="S13" s="88">
        <f t="shared" si="4"/>
        <v>291.60000000000002</v>
      </c>
      <c r="T13" s="88">
        <f t="shared" si="4"/>
        <v>303.39999999999998</v>
      </c>
      <c r="U13" s="88">
        <f t="shared" si="4"/>
        <v>297</v>
      </c>
      <c r="V13" s="88">
        <f t="shared" si="4"/>
        <v>231.7</v>
      </c>
      <c r="W13" s="89">
        <f t="shared" si="4"/>
        <v>200.9</v>
      </c>
    </row>
    <row r="14" spans="1:23" x14ac:dyDescent="0.3">
      <c r="B14" s="23" t="s">
        <v>31</v>
      </c>
      <c r="J14" s="13"/>
      <c r="K14" s="13">
        <v>0.48</v>
      </c>
      <c r="L14" s="13">
        <v>0.21</v>
      </c>
      <c r="M14" s="14">
        <v>0.12</v>
      </c>
      <c r="N14" s="14">
        <f>M14</f>
        <v>0.12</v>
      </c>
      <c r="O14" s="14">
        <f t="shared" ref="O14:W14" si="5">N14</f>
        <v>0.12</v>
      </c>
      <c r="P14" s="14">
        <f t="shared" si="5"/>
        <v>0.12</v>
      </c>
      <c r="Q14" s="14">
        <f t="shared" si="5"/>
        <v>0.12</v>
      </c>
      <c r="R14" s="14">
        <f t="shared" si="5"/>
        <v>0.12</v>
      </c>
      <c r="S14" s="14">
        <f t="shared" si="5"/>
        <v>0.12</v>
      </c>
      <c r="T14" s="14">
        <f t="shared" si="5"/>
        <v>0.12</v>
      </c>
      <c r="U14" s="14">
        <f t="shared" si="5"/>
        <v>0.12</v>
      </c>
      <c r="V14" s="14">
        <f t="shared" si="5"/>
        <v>0.12</v>
      </c>
      <c r="W14" s="12">
        <f t="shared" si="5"/>
        <v>0.12</v>
      </c>
    </row>
    <row r="15" spans="1:23" x14ac:dyDescent="0.3">
      <c r="B15" s="5" t="s">
        <v>34</v>
      </c>
      <c r="C15" s="85">
        <v>7.1760000000000002</v>
      </c>
      <c r="D15" s="85">
        <v>7.68</v>
      </c>
      <c r="E15" s="85">
        <v>16.651</v>
      </c>
      <c r="F15" s="85">
        <v>20.547000000000001</v>
      </c>
      <c r="G15" s="86">
        <v>25</v>
      </c>
      <c r="H15" s="86">
        <v>30</v>
      </c>
      <c r="I15" s="86">
        <v>35</v>
      </c>
      <c r="J15" s="86">
        <v>100</v>
      </c>
      <c r="K15" s="86">
        <v>160</v>
      </c>
      <c r="L15" s="86">
        <v>340</v>
      </c>
      <c r="M15" s="86">
        <v>525</v>
      </c>
      <c r="N15" s="86">
        <v>710</v>
      </c>
      <c r="O15" s="86">
        <v>905</v>
      </c>
      <c r="P15" s="86">
        <v>1115</v>
      </c>
      <c r="Q15" s="88">
        <f t="shared" ref="Q15:W15" si="6">ROUND(Q16*Q7,1)</f>
        <v>778</v>
      </c>
      <c r="R15" s="88">
        <f t="shared" si="6"/>
        <v>766.7</v>
      </c>
      <c r="S15" s="88">
        <f t="shared" si="6"/>
        <v>753.3</v>
      </c>
      <c r="T15" s="88">
        <f t="shared" si="6"/>
        <v>783.7</v>
      </c>
      <c r="U15" s="88">
        <f t="shared" si="6"/>
        <v>767.3</v>
      </c>
      <c r="V15" s="88">
        <f t="shared" si="6"/>
        <v>598.70000000000005</v>
      </c>
      <c r="W15" s="89">
        <f t="shared" si="6"/>
        <v>519</v>
      </c>
    </row>
    <row r="16" spans="1:23" x14ac:dyDescent="0.3">
      <c r="B16" s="23" t="s">
        <v>31</v>
      </c>
      <c r="G16" s="14"/>
      <c r="H16" s="14"/>
      <c r="I16" s="14"/>
      <c r="J16" s="13">
        <v>0.8</v>
      </c>
      <c r="K16" s="13">
        <v>0.31</v>
      </c>
      <c r="L16" s="14">
        <f>K16</f>
        <v>0.31</v>
      </c>
      <c r="M16" s="14">
        <f t="shared" ref="M16:W16" si="7">L16</f>
        <v>0.31</v>
      </c>
      <c r="N16" s="14">
        <f t="shared" si="7"/>
        <v>0.31</v>
      </c>
      <c r="O16" s="14">
        <f t="shared" si="7"/>
        <v>0.31</v>
      </c>
      <c r="P16" s="14">
        <f t="shared" si="7"/>
        <v>0.31</v>
      </c>
      <c r="Q16" s="14">
        <f t="shared" si="7"/>
        <v>0.31</v>
      </c>
      <c r="R16" s="14">
        <f t="shared" si="7"/>
        <v>0.31</v>
      </c>
      <c r="S16" s="14">
        <f t="shared" si="7"/>
        <v>0.31</v>
      </c>
      <c r="T16" s="14">
        <f t="shared" si="7"/>
        <v>0.31</v>
      </c>
      <c r="U16" s="14">
        <f t="shared" si="7"/>
        <v>0.31</v>
      </c>
      <c r="V16" s="14">
        <f t="shared" si="7"/>
        <v>0.31</v>
      </c>
      <c r="W16" s="12">
        <f t="shared" si="7"/>
        <v>0.31</v>
      </c>
    </row>
    <row r="17" spans="1:23" s="19" customFormat="1" x14ac:dyDescent="0.3">
      <c r="A17" s="1"/>
      <c r="B17" s="20" t="s">
        <v>43</v>
      </c>
      <c r="C17" s="19">
        <f t="shared" ref="C17:W17" si="8">C7-C8-C13-C15</f>
        <v>-32.83</v>
      </c>
      <c r="D17" s="19">
        <f t="shared" si="8"/>
        <v>-44.65</v>
      </c>
      <c r="E17" s="19">
        <f t="shared" si="8"/>
        <v>-58.015000000000001</v>
      </c>
      <c r="F17" s="19">
        <f t="shared" si="8"/>
        <v>-84.036000000000001</v>
      </c>
      <c r="G17" s="19">
        <f t="shared" si="8"/>
        <v>-110</v>
      </c>
      <c r="H17" s="19">
        <f t="shared" si="8"/>
        <v>-155</v>
      </c>
      <c r="I17" s="19">
        <f t="shared" si="8"/>
        <v>-200</v>
      </c>
      <c r="J17" s="19">
        <f t="shared" si="8"/>
        <v>-198.75</v>
      </c>
      <c r="K17" s="19">
        <f t="shared" si="8"/>
        <v>-48</v>
      </c>
      <c r="L17" s="19">
        <f t="shared" si="8"/>
        <v>98</v>
      </c>
      <c r="M17" s="19">
        <f t="shared" si="8"/>
        <v>268.75</v>
      </c>
      <c r="N17" s="19">
        <f t="shared" si="8"/>
        <v>375</v>
      </c>
      <c r="O17" s="19">
        <f t="shared" si="8"/>
        <v>482.5</v>
      </c>
      <c r="P17" s="19">
        <f t="shared" si="8"/>
        <v>609</v>
      </c>
      <c r="Q17" s="19">
        <f t="shared" si="8"/>
        <v>1053.95568163648</v>
      </c>
      <c r="R17" s="19">
        <f t="shared" si="8"/>
        <v>1038.8259684692493</v>
      </c>
      <c r="S17" s="19">
        <f t="shared" si="8"/>
        <v>1020.646943609752</v>
      </c>
      <c r="T17" s="19">
        <f t="shared" si="8"/>
        <v>1061.6884854372245</v>
      </c>
      <c r="U17" s="19">
        <f t="shared" si="8"/>
        <v>1039.5914460238544</v>
      </c>
      <c r="V17" s="19">
        <f t="shared" si="8"/>
        <v>811.10870347396121</v>
      </c>
      <c r="W17" s="22">
        <f t="shared" si="8"/>
        <v>703.1512535199688</v>
      </c>
    </row>
    <row r="18" spans="1:23" x14ac:dyDescent="0.3">
      <c r="B18" s="3"/>
      <c r="W18" s="21"/>
    </row>
    <row r="19" spans="1:23" x14ac:dyDescent="0.3">
      <c r="B19" s="5" t="s">
        <v>32</v>
      </c>
      <c r="C19" s="85">
        <v>-0.29899999999999999</v>
      </c>
      <c r="D19" s="85">
        <v>2.42</v>
      </c>
      <c r="E19" s="85">
        <v>4.2610000000000001</v>
      </c>
      <c r="F19" s="85">
        <v>11.297000000000001</v>
      </c>
      <c r="G19" s="85">
        <v>0</v>
      </c>
      <c r="H19" s="87">
        <f>G19</f>
        <v>0</v>
      </c>
      <c r="I19" s="87">
        <f t="shared" ref="I19:W19" si="9">H19</f>
        <v>0</v>
      </c>
      <c r="J19" s="87">
        <f t="shared" si="9"/>
        <v>0</v>
      </c>
      <c r="K19" s="87">
        <f t="shared" si="9"/>
        <v>0</v>
      </c>
      <c r="L19" s="87">
        <f t="shared" si="9"/>
        <v>0</v>
      </c>
      <c r="M19" s="87">
        <f t="shared" si="9"/>
        <v>0</v>
      </c>
      <c r="N19" s="87">
        <f t="shared" si="9"/>
        <v>0</v>
      </c>
      <c r="O19" s="87">
        <f t="shared" si="9"/>
        <v>0</v>
      </c>
      <c r="P19" s="87">
        <f t="shared" si="9"/>
        <v>0</v>
      </c>
      <c r="Q19" s="18">
        <f t="shared" si="9"/>
        <v>0</v>
      </c>
      <c r="R19" s="18">
        <f t="shared" si="9"/>
        <v>0</v>
      </c>
      <c r="S19" s="18">
        <f t="shared" si="9"/>
        <v>0</v>
      </c>
      <c r="T19" s="18">
        <f t="shared" si="9"/>
        <v>0</v>
      </c>
      <c r="U19" s="18">
        <f t="shared" si="9"/>
        <v>0</v>
      </c>
      <c r="V19" s="18">
        <f t="shared" si="9"/>
        <v>0</v>
      </c>
      <c r="W19" s="21">
        <f t="shared" si="9"/>
        <v>0</v>
      </c>
    </row>
    <row r="20" spans="1:23" x14ac:dyDescent="0.3">
      <c r="B20" s="5" t="s">
        <v>33</v>
      </c>
      <c r="C20" s="85">
        <v>-0.157</v>
      </c>
      <c r="D20" s="85">
        <v>-7.8E-2</v>
      </c>
      <c r="E20" s="85">
        <v>-0.107</v>
      </c>
      <c r="F20" s="85">
        <v>-6.3E-2</v>
      </c>
      <c r="G20" s="85">
        <v>0</v>
      </c>
      <c r="H20" s="87">
        <f>G20</f>
        <v>0</v>
      </c>
      <c r="I20" s="87">
        <f t="shared" ref="I20:W20" si="10">H20</f>
        <v>0</v>
      </c>
      <c r="J20" s="87">
        <f t="shared" si="10"/>
        <v>0</v>
      </c>
      <c r="K20" s="87">
        <f t="shared" si="10"/>
        <v>0</v>
      </c>
      <c r="L20" s="87">
        <f t="shared" si="10"/>
        <v>0</v>
      </c>
      <c r="M20" s="87">
        <f t="shared" si="10"/>
        <v>0</v>
      </c>
      <c r="N20" s="87">
        <f t="shared" si="10"/>
        <v>0</v>
      </c>
      <c r="O20" s="87">
        <f t="shared" si="10"/>
        <v>0</v>
      </c>
      <c r="P20" s="87">
        <f t="shared" si="10"/>
        <v>0</v>
      </c>
      <c r="Q20" s="18">
        <f t="shared" si="10"/>
        <v>0</v>
      </c>
      <c r="R20" s="18">
        <f t="shared" si="10"/>
        <v>0</v>
      </c>
      <c r="S20" s="18">
        <f t="shared" si="10"/>
        <v>0</v>
      </c>
      <c r="T20" s="18">
        <f t="shared" si="10"/>
        <v>0</v>
      </c>
      <c r="U20" s="18">
        <f t="shared" si="10"/>
        <v>0</v>
      </c>
      <c r="V20" s="18">
        <f t="shared" si="10"/>
        <v>0</v>
      </c>
      <c r="W20" s="21">
        <f t="shared" si="10"/>
        <v>0</v>
      </c>
    </row>
    <row r="21" spans="1:23" x14ac:dyDescent="0.3">
      <c r="B21" s="5" t="s">
        <v>35</v>
      </c>
      <c r="C21" s="85">
        <v>0</v>
      </c>
      <c r="D21" s="85">
        <v>0</v>
      </c>
      <c r="E21" s="85">
        <f>-3.61-0.511</f>
        <v>-4.1209999999999996</v>
      </c>
      <c r="F21" s="85">
        <v>-0.11899999999999999</v>
      </c>
      <c r="G21" s="85">
        <f>0</f>
        <v>0</v>
      </c>
      <c r="H21" s="87">
        <f>G21</f>
        <v>0</v>
      </c>
      <c r="I21" s="87">
        <f t="shared" ref="I21:W21" si="11">H21</f>
        <v>0</v>
      </c>
      <c r="J21" s="87">
        <f t="shared" si="11"/>
        <v>0</v>
      </c>
      <c r="K21" s="87">
        <f t="shared" si="11"/>
        <v>0</v>
      </c>
      <c r="L21" s="87">
        <f t="shared" si="11"/>
        <v>0</v>
      </c>
      <c r="M21" s="87">
        <f t="shared" si="11"/>
        <v>0</v>
      </c>
      <c r="N21" s="87">
        <f t="shared" si="11"/>
        <v>0</v>
      </c>
      <c r="O21" s="87">
        <f t="shared" si="11"/>
        <v>0</v>
      </c>
      <c r="P21" s="87">
        <f t="shared" si="11"/>
        <v>0</v>
      </c>
      <c r="Q21" s="18">
        <f t="shared" si="11"/>
        <v>0</v>
      </c>
      <c r="R21" s="18">
        <f t="shared" si="11"/>
        <v>0</v>
      </c>
      <c r="S21" s="18">
        <f t="shared" si="11"/>
        <v>0</v>
      </c>
      <c r="T21" s="18">
        <f t="shared" si="11"/>
        <v>0</v>
      </c>
      <c r="U21" s="18">
        <f t="shared" si="11"/>
        <v>0</v>
      </c>
      <c r="V21" s="18">
        <f t="shared" si="11"/>
        <v>0</v>
      </c>
      <c r="W21" s="21">
        <f t="shared" si="11"/>
        <v>0</v>
      </c>
    </row>
    <row r="22" spans="1:23" s="19" customFormat="1" x14ac:dyDescent="0.3">
      <c r="A22" s="1"/>
      <c r="B22" s="20" t="s">
        <v>42</v>
      </c>
      <c r="C22" s="19">
        <f>SUM(C17:C21)</f>
        <v>-33.285999999999994</v>
      </c>
      <c r="D22" s="19">
        <f>SUM(D17:D21)</f>
        <v>-42.308</v>
      </c>
      <c r="E22" s="19">
        <f>SUM(E17:E21)</f>
        <v>-57.981999999999999</v>
      </c>
      <c r="F22" s="19">
        <f>SUM(F17:F21)</f>
        <v>-72.921000000000006</v>
      </c>
      <c r="G22" s="19">
        <f t="shared" ref="G22:W22" si="12">SUM(G17:G21)</f>
        <v>-110</v>
      </c>
      <c r="H22" s="19">
        <f t="shared" si="12"/>
        <v>-155</v>
      </c>
      <c r="I22" s="19">
        <f t="shared" si="12"/>
        <v>-200</v>
      </c>
      <c r="J22" s="19">
        <f t="shared" si="12"/>
        <v>-198.75</v>
      </c>
      <c r="K22" s="19">
        <f t="shared" si="12"/>
        <v>-48</v>
      </c>
      <c r="L22" s="19">
        <f t="shared" si="12"/>
        <v>98</v>
      </c>
      <c r="M22" s="19">
        <f t="shared" si="12"/>
        <v>268.75</v>
      </c>
      <c r="N22" s="19">
        <f t="shared" si="12"/>
        <v>375</v>
      </c>
      <c r="O22" s="19">
        <f t="shared" si="12"/>
        <v>482.5</v>
      </c>
      <c r="P22" s="19">
        <f t="shared" si="12"/>
        <v>609</v>
      </c>
      <c r="Q22" s="19">
        <f t="shared" si="12"/>
        <v>1053.95568163648</v>
      </c>
      <c r="R22" s="19">
        <f t="shared" si="12"/>
        <v>1038.8259684692493</v>
      </c>
      <c r="S22" s="19">
        <f t="shared" si="12"/>
        <v>1020.646943609752</v>
      </c>
      <c r="T22" s="19">
        <f t="shared" si="12"/>
        <v>1061.6884854372245</v>
      </c>
      <c r="U22" s="19">
        <f t="shared" si="12"/>
        <v>1039.5914460238544</v>
      </c>
      <c r="V22" s="19">
        <f t="shared" si="12"/>
        <v>811.10870347396121</v>
      </c>
      <c r="W22" s="22">
        <f t="shared" si="12"/>
        <v>703.1512535199688</v>
      </c>
    </row>
    <row r="23" spans="1:23" x14ac:dyDescent="0.3">
      <c r="B23" s="3"/>
      <c r="W23" s="21"/>
    </row>
    <row r="24" spans="1:23" x14ac:dyDescent="0.3">
      <c r="B24" s="5" t="s">
        <v>36</v>
      </c>
      <c r="C24" s="85">
        <v>0</v>
      </c>
      <c r="D24" s="85">
        <v>-0.377</v>
      </c>
      <c r="E24" s="85">
        <v>0</v>
      </c>
      <c r="F24" s="85">
        <v>-1.23</v>
      </c>
      <c r="G24" s="85">
        <v>0</v>
      </c>
      <c r="H24" s="92">
        <f>G24</f>
        <v>0</v>
      </c>
      <c r="I24" s="92">
        <f>H24</f>
        <v>0</v>
      </c>
      <c r="J24" s="18">
        <f>I24</f>
        <v>0</v>
      </c>
      <c r="K24" s="18">
        <f>J24</f>
        <v>0</v>
      </c>
      <c r="L24" s="18">
        <f t="shared" ref="L24:W24" si="13">-L22*L25</f>
        <v>-14.7</v>
      </c>
      <c r="M24" s="18">
        <f t="shared" si="13"/>
        <v>-67.1875</v>
      </c>
      <c r="N24" s="18">
        <f t="shared" si="13"/>
        <v>-93.75</v>
      </c>
      <c r="O24" s="18">
        <f t="shared" si="13"/>
        <v>-120.625</v>
      </c>
      <c r="P24" s="18">
        <f t="shared" si="13"/>
        <v>-152.25</v>
      </c>
      <c r="Q24" s="18">
        <f t="shared" si="13"/>
        <v>-263.48892040912</v>
      </c>
      <c r="R24" s="18">
        <f t="shared" si="13"/>
        <v>-259.70649211731234</v>
      </c>
      <c r="S24" s="18">
        <f t="shared" si="13"/>
        <v>-255.16173590243801</v>
      </c>
      <c r="T24" s="18">
        <f t="shared" si="13"/>
        <v>-265.42212135930612</v>
      </c>
      <c r="U24" s="18">
        <f t="shared" si="13"/>
        <v>-259.89786150596359</v>
      </c>
      <c r="V24" s="18">
        <f t="shared" si="13"/>
        <v>-202.7771758684903</v>
      </c>
      <c r="W24" s="21">
        <f t="shared" si="13"/>
        <v>-175.7878133799922</v>
      </c>
    </row>
    <row r="25" spans="1:23" x14ac:dyDescent="0.3">
      <c r="B25" s="23" t="s">
        <v>38</v>
      </c>
      <c r="J25" s="85"/>
      <c r="K25" s="13"/>
      <c r="L25" s="13">
        <v>0.15</v>
      </c>
      <c r="M25" s="13">
        <v>0.25</v>
      </c>
      <c r="N25" s="14">
        <f>M25</f>
        <v>0.25</v>
      </c>
      <c r="O25" s="14">
        <f t="shared" ref="O25:W25" si="14">N25</f>
        <v>0.25</v>
      </c>
      <c r="P25" s="14">
        <f t="shared" si="14"/>
        <v>0.25</v>
      </c>
      <c r="Q25" s="14">
        <f t="shared" si="14"/>
        <v>0.25</v>
      </c>
      <c r="R25" s="14">
        <f t="shared" si="14"/>
        <v>0.25</v>
      </c>
      <c r="S25" s="14">
        <f t="shared" si="14"/>
        <v>0.25</v>
      </c>
      <c r="T25" s="14">
        <f t="shared" si="14"/>
        <v>0.25</v>
      </c>
      <c r="U25" s="14">
        <f t="shared" si="14"/>
        <v>0.25</v>
      </c>
      <c r="V25" s="14">
        <f t="shared" si="14"/>
        <v>0.25</v>
      </c>
      <c r="W25" s="12">
        <f t="shared" si="14"/>
        <v>0.25</v>
      </c>
    </row>
    <row r="26" spans="1:23" x14ac:dyDescent="0.3">
      <c r="B26" s="3"/>
      <c r="W26" s="21"/>
    </row>
    <row r="27" spans="1:23" s="19" customFormat="1" x14ac:dyDescent="0.3">
      <c r="A27" s="1"/>
      <c r="B27" s="16" t="s">
        <v>37</v>
      </c>
      <c r="C27" s="24">
        <f>SUM(C22:C24)</f>
        <v>-33.285999999999994</v>
      </c>
      <c r="D27" s="24">
        <f>SUM(D22:D24)</f>
        <v>-42.685000000000002</v>
      </c>
      <c r="E27" s="24">
        <f>SUM(E22:E24)</f>
        <v>-57.981999999999999</v>
      </c>
      <c r="F27" s="24">
        <f>SUM(F22:F24)</f>
        <v>-74.15100000000001</v>
      </c>
      <c r="G27" s="24">
        <f t="shared" ref="G27:W27" si="15">SUM(G22:G24)</f>
        <v>-110</v>
      </c>
      <c r="H27" s="24">
        <f t="shared" si="15"/>
        <v>-155</v>
      </c>
      <c r="I27" s="24">
        <f t="shared" si="15"/>
        <v>-200</v>
      </c>
      <c r="J27" s="24">
        <f t="shared" si="15"/>
        <v>-198.75</v>
      </c>
      <c r="K27" s="24">
        <f t="shared" si="15"/>
        <v>-48</v>
      </c>
      <c r="L27" s="24">
        <f t="shared" si="15"/>
        <v>83.3</v>
      </c>
      <c r="M27" s="24">
        <f t="shared" si="15"/>
        <v>201.5625</v>
      </c>
      <c r="N27" s="24">
        <f t="shared" si="15"/>
        <v>281.25</v>
      </c>
      <c r="O27" s="24">
        <f t="shared" si="15"/>
        <v>361.875</v>
      </c>
      <c r="P27" s="24">
        <f t="shared" si="15"/>
        <v>456.75</v>
      </c>
      <c r="Q27" s="24">
        <f t="shared" si="15"/>
        <v>790.46676122735994</v>
      </c>
      <c r="R27" s="24">
        <f t="shared" si="15"/>
        <v>779.11947635193701</v>
      </c>
      <c r="S27" s="24">
        <f t="shared" si="15"/>
        <v>765.48520770731398</v>
      </c>
      <c r="T27" s="24">
        <f t="shared" si="15"/>
        <v>796.2663640779183</v>
      </c>
      <c r="U27" s="24">
        <f t="shared" si="15"/>
        <v>779.69358451789071</v>
      </c>
      <c r="V27" s="24">
        <f t="shared" si="15"/>
        <v>608.33152760547091</v>
      </c>
      <c r="W27" s="25">
        <f t="shared" si="15"/>
        <v>527.36344013997655</v>
      </c>
    </row>
    <row r="29" spans="1:23" x14ac:dyDescent="0.3">
      <c r="B29" s="97" t="s">
        <v>44</v>
      </c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9"/>
    </row>
    <row r="30" spans="1:23" x14ac:dyDescent="0.3">
      <c r="B30" s="118"/>
      <c r="C30" s="119" t="s">
        <v>24</v>
      </c>
      <c r="D30" s="119" t="s">
        <v>25</v>
      </c>
      <c r="E30" s="119" t="s">
        <v>26</v>
      </c>
      <c r="F30" s="119" t="s">
        <v>0</v>
      </c>
      <c r="G30" s="119" t="s">
        <v>1</v>
      </c>
      <c r="H30" s="119" t="s">
        <v>2</v>
      </c>
      <c r="I30" s="119" t="s">
        <v>3</v>
      </c>
      <c r="J30" s="119" t="s">
        <v>4</v>
      </c>
      <c r="K30" s="119" t="s">
        <v>5</v>
      </c>
      <c r="L30" s="119" t="s">
        <v>6</v>
      </c>
      <c r="M30" s="119" t="s">
        <v>7</v>
      </c>
      <c r="N30" s="119" t="s">
        <v>8</v>
      </c>
      <c r="O30" s="119" t="s">
        <v>9</v>
      </c>
      <c r="P30" s="119" t="s">
        <v>10</v>
      </c>
      <c r="Q30" s="119" t="s">
        <v>15</v>
      </c>
      <c r="R30" s="119" t="s">
        <v>16</v>
      </c>
      <c r="S30" s="119" t="s">
        <v>17</v>
      </c>
      <c r="T30" s="119" t="s">
        <v>18</v>
      </c>
      <c r="U30" s="119" t="s">
        <v>19</v>
      </c>
      <c r="V30" s="119" t="s">
        <v>20</v>
      </c>
      <c r="W30" s="119" t="s">
        <v>21</v>
      </c>
    </row>
    <row r="31" spans="1:23" x14ac:dyDescent="0.3">
      <c r="B31" s="3" t="s">
        <v>45</v>
      </c>
      <c r="C31" s="85">
        <v>7.1120000000000001</v>
      </c>
      <c r="D31" s="85">
        <v>1.958</v>
      </c>
      <c r="E31" s="85">
        <v>5.6180000000000003</v>
      </c>
      <c r="F31" s="85">
        <v>2.9740000000000002</v>
      </c>
      <c r="G31" s="18">
        <f>F31*(1+G32)</f>
        <v>3.8928554429054216</v>
      </c>
      <c r="H31" s="18">
        <f t="shared" ref="H31:W31" si="16">G31*(1+H32)</f>
        <v>5.4853872150030947</v>
      </c>
      <c r="I31" s="18">
        <f t="shared" si="16"/>
        <v>7.0779189871007668</v>
      </c>
      <c r="J31" s="18">
        <f t="shared" si="16"/>
        <v>10.793826455328668</v>
      </c>
      <c r="K31" s="18">
        <f t="shared" si="16"/>
        <v>36.267256889904324</v>
      </c>
      <c r="L31" s="18">
        <f t="shared" si="16"/>
        <v>67.353477081250887</v>
      </c>
      <c r="M31" s="18">
        <f t="shared" si="16"/>
        <v>101.46196868008947</v>
      </c>
      <c r="N31" s="18">
        <f t="shared" si="16"/>
        <v>138.16097862820695</v>
      </c>
      <c r="O31" s="18">
        <f t="shared" si="16"/>
        <v>177.01875386739016</v>
      </c>
      <c r="P31" s="18">
        <f t="shared" si="16"/>
        <v>219.33055357227855</v>
      </c>
      <c r="Q31" s="18">
        <f t="shared" si="16"/>
        <v>216.70505628030583</v>
      </c>
      <c r="R31" s="18">
        <f t="shared" si="16"/>
        <v>213.57309794059148</v>
      </c>
      <c r="S31" s="18">
        <f t="shared" si="16"/>
        <v>209.83675524384196</v>
      </c>
      <c r="T31" s="18">
        <f t="shared" si="16"/>
        <v>218.29317648016874</v>
      </c>
      <c r="U31" s="18">
        <f t="shared" si="16"/>
        <v>213.73213316924196</v>
      </c>
      <c r="V31" s="18">
        <f t="shared" si="16"/>
        <v>166.75915360197178</v>
      </c>
      <c r="W31" s="21">
        <f t="shared" si="16"/>
        <v>144.5687797182797</v>
      </c>
    </row>
    <row r="32" spans="1:23" x14ac:dyDescent="0.3">
      <c r="B32" s="5" t="s">
        <v>108</v>
      </c>
      <c r="C32" s="14"/>
      <c r="D32" s="14">
        <f t="shared" ref="D32:J32" si="17">(D13+D15)/(C13+C15)-1</f>
        <v>0.36003655193420658</v>
      </c>
      <c r="E32" s="14">
        <f t="shared" si="17"/>
        <v>0.29932810750279959</v>
      </c>
      <c r="F32" s="14">
        <f t="shared" si="17"/>
        <v>0.44852193398259077</v>
      </c>
      <c r="G32" s="14">
        <f t="shared" si="17"/>
        <v>0.30896282545575704</v>
      </c>
      <c r="H32" s="14">
        <f t="shared" si="17"/>
        <v>0.40909090909090917</v>
      </c>
      <c r="I32" s="14">
        <f t="shared" si="17"/>
        <v>0.29032258064516125</v>
      </c>
      <c r="J32" s="14">
        <f t="shared" si="17"/>
        <v>0.52499999999999991</v>
      </c>
      <c r="K32" s="14">
        <f>K7/J7-1</f>
        <v>2.36</v>
      </c>
      <c r="L32" s="14">
        <f t="shared" ref="L32:V32" si="18">L7/K7-1</f>
        <v>0.85714285714285721</v>
      </c>
      <c r="M32" s="14">
        <f t="shared" si="18"/>
        <v>0.50641025641025639</v>
      </c>
      <c r="N32" s="14">
        <f t="shared" si="18"/>
        <v>0.36170212765957444</v>
      </c>
      <c r="O32" s="14">
        <f t="shared" si="18"/>
        <v>0.28125</v>
      </c>
      <c r="P32" s="14">
        <f t="shared" si="18"/>
        <v>0.23902439024390243</v>
      </c>
      <c r="Q32" s="14">
        <f t="shared" si="18"/>
        <v>-1.1970504105382251E-2</v>
      </c>
      <c r="R32" s="14">
        <f t="shared" si="18"/>
        <v>-1.4452631578947495E-2</v>
      </c>
      <c r="S32" s="14">
        <f t="shared" si="18"/>
        <v>-1.7494444444444146E-2</v>
      </c>
      <c r="T32" s="14">
        <f t="shared" si="18"/>
        <v>4.029999999999978E-2</v>
      </c>
      <c r="U32" s="14">
        <f t="shared" si="18"/>
        <v>-2.0894117647058619E-2</v>
      </c>
      <c r="V32" s="14">
        <f t="shared" si="18"/>
        <v>-0.21977500000000016</v>
      </c>
      <c r="W32" s="12">
        <f>(W13+W15)/(V13+V15)-1</f>
        <v>-0.13306840077071302</v>
      </c>
    </row>
    <row r="33" spans="1:23" x14ac:dyDescent="0.3">
      <c r="B33" s="3" t="s">
        <v>46</v>
      </c>
      <c r="C33" s="85">
        <v>0.38400000000000001</v>
      </c>
      <c r="D33" s="85">
        <v>2.7E-2</v>
      </c>
      <c r="E33" s="85">
        <v>0.97599999999999998</v>
      </c>
      <c r="F33" s="85">
        <v>1.093</v>
      </c>
      <c r="G33" s="18">
        <f>F33*(1+G32)</f>
        <v>1.4306963682231424</v>
      </c>
      <c r="H33" s="18">
        <f t="shared" ref="H33:J33" si="19">G33*(1+H32)</f>
        <v>2.0159812461326099</v>
      </c>
      <c r="I33" s="18">
        <f t="shared" si="19"/>
        <v>2.6012661240420774</v>
      </c>
      <c r="J33" s="18">
        <f t="shared" si="19"/>
        <v>3.9669308391641676</v>
      </c>
      <c r="K33" s="18">
        <f>J33*(1+K32)</f>
        <v>13.328887619591603</v>
      </c>
      <c r="L33" s="18">
        <f t="shared" ref="L33:V33" si="20">K33*(1+L32)</f>
        <v>24.753648436384406</v>
      </c>
      <c r="M33" s="18">
        <f t="shared" si="20"/>
        <v>37.289149888143179</v>
      </c>
      <c r="N33" s="18">
        <f t="shared" si="20"/>
        <v>50.776714741301348</v>
      </c>
      <c r="O33" s="18">
        <f t="shared" si="20"/>
        <v>65.057665762292345</v>
      </c>
      <c r="P33" s="18">
        <f t="shared" si="20"/>
        <v>80.608034651815885</v>
      </c>
      <c r="Q33" s="18">
        <f t="shared" si="20"/>
        <v>79.643115842089529</v>
      </c>
      <c r="R33" s="18">
        <f t="shared" si="20"/>
        <v>78.492063231024375</v>
      </c>
      <c r="S33" s="18">
        <f t="shared" si="20"/>
        <v>77.118888191499423</v>
      </c>
      <c r="T33" s="18">
        <f t="shared" si="20"/>
        <v>80.226779385616837</v>
      </c>
      <c r="U33" s="18">
        <f t="shared" si="20"/>
        <v>78.550511618689143</v>
      </c>
      <c r="V33" s="18">
        <f t="shared" si="20"/>
        <v>61.287072927691725</v>
      </c>
      <c r="W33" s="21">
        <f>V33*(1+W32)</f>
        <v>53.131700145285727</v>
      </c>
    </row>
    <row r="34" spans="1:23" x14ac:dyDescent="0.3">
      <c r="B34" s="3" t="s">
        <v>47</v>
      </c>
      <c r="C34" s="85">
        <v>11.731999999999999</v>
      </c>
      <c r="D34" s="85">
        <v>5.4489999999999998</v>
      </c>
      <c r="E34" s="85">
        <v>7.85</v>
      </c>
      <c r="F34" s="85">
        <v>7.34</v>
      </c>
      <c r="G34" s="18">
        <f t="shared" ref="G34:W34" si="21">F34*(1+G32)</f>
        <v>9.6077871388452571</v>
      </c>
      <c r="H34" s="18">
        <f t="shared" si="21"/>
        <v>13.538245513827409</v>
      </c>
      <c r="I34" s="18">
        <f t="shared" si="21"/>
        <v>17.468703888809561</v>
      </c>
      <c r="J34" s="18">
        <f t="shared" si="21"/>
        <v>26.639773430434577</v>
      </c>
      <c r="K34" s="18">
        <f t="shared" si="21"/>
        <v>89.509638726260178</v>
      </c>
      <c r="L34" s="18">
        <f t="shared" si="21"/>
        <v>166.23218620591177</v>
      </c>
      <c r="M34" s="18">
        <f t="shared" si="21"/>
        <v>250.41387024608503</v>
      </c>
      <c r="N34" s="18">
        <f t="shared" si="21"/>
        <v>340.98909990956258</v>
      </c>
      <c r="O34" s="18">
        <f t="shared" si="21"/>
        <v>436.89228425912705</v>
      </c>
      <c r="P34" s="18">
        <f t="shared" si="21"/>
        <v>541.32019610643056</v>
      </c>
      <c r="Q34" s="18">
        <f t="shared" si="21"/>
        <v>534.84032047661219</v>
      </c>
      <c r="R34" s="18">
        <f t="shared" si="21"/>
        <v>527.11047037119749</v>
      </c>
      <c r="S34" s="18">
        <f t="shared" si="21"/>
        <v>517.88896553120378</v>
      </c>
      <c r="T34" s="18">
        <f t="shared" si="21"/>
        <v>538.75989084211119</v>
      </c>
      <c r="U34" s="18">
        <f t="shared" si="21"/>
        <v>527.5029782993397</v>
      </c>
      <c r="V34" s="18">
        <f t="shared" si="21"/>
        <v>411.57101124360224</v>
      </c>
      <c r="W34" s="21">
        <f t="shared" si="21"/>
        <v>356.80391497383096</v>
      </c>
    </row>
    <row r="35" spans="1:23" x14ac:dyDescent="0.3">
      <c r="B35" s="3"/>
      <c r="W35" s="21"/>
    </row>
    <row r="36" spans="1:23" x14ac:dyDescent="0.3">
      <c r="B36" s="3" t="s">
        <v>48</v>
      </c>
      <c r="W36" s="21"/>
    </row>
    <row r="37" spans="1:23" x14ac:dyDescent="0.3">
      <c r="B37" s="5" t="s">
        <v>49</v>
      </c>
      <c r="G37" s="18">
        <f t="shared" ref="G37:W37" si="22">F31-G31</f>
        <v>-0.91885544290542143</v>
      </c>
      <c r="H37" s="18">
        <f t="shared" si="22"/>
        <v>-1.592531772097673</v>
      </c>
      <c r="I37" s="18">
        <f t="shared" si="22"/>
        <v>-1.5925317720976722</v>
      </c>
      <c r="J37" s="18">
        <f t="shared" si="22"/>
        <v>-3.7159074682279014</v>
      </c>
      <c r="K37" s="18">
        <f t="shared" si="22"/>
        <v>-25.473430434575654</v>
      </c>
      <c r="L37" s="18">
        <f t="shared" si="22"/>
        <v>-31.086220191346563</v>
      </c>
      <c r="M37" s="18">
        <f t="shared" si="22"/>
        <v>-34.108491598838583</v>
      </c>
      <c r="N37" s="18">
        <f t="shared" si="22"/>
        <v>-36.699009948117478</v>
      </c>
      <c r="O37" s="18">
        <f t="shared" si="22"/>
        <v>-38.857775239183212</v>
      </c>
      <c r="P37" s="18">
        <f t="shared" si="22"/>
        <v>-42.311799704888386</v>
      </c>
      <c r="Q37" s="18">
        <f t="shared" si="22"/>
        <v>2.6254972919727209</v>
      </c>
      <c r="R37" s="18">
        <f t="shared" si="22"/>
        <v>3.1319583397143447</v>
      </c>
      <c r="S37" s="18">
        <f t="shared" si="22"/>
        <v>3.7363426967495172</v>
      </c>
      <c r="T37" s="18">
        <f t="shared" si="22"/>
        <v>-8.4564212363267757</v>
      </c>
      <c r="U37" s="18">
        <f t="shared" si="22"/>
        <v>4.5610433109267774</v>
      </c>
      <c r="V37" s="18">
        <f t="shared" si="22"/>
        <v>46.972979567270187</v>
      </c>
      <c r="W37" s="21">
        <f t="shared" si="22"/>
        <v>22.190373883692075</v>
      </c>
    </row>
    <row r="38" spans="1:23" x14ac:dyDescent="0.3">
      <c r="B38" s="5" t="s">
        <v>50</v>
      </c>
      <c r="G38" s="18">
        <f t="shared" ref="G38:W38" si="23">G33-F33</f>
        <v>0.33769636822314242</v>
      </c>
      <c r="H38" s="18">
        <f t="shared" si="23"/>
        <v>0.58528487790946748</v>
      </c>
      <c r="I38" s="18">
        <f t="shared" si="23"/>
        <v>0.58528487790946748</v>
      </c>
      <c r="J38" s="18">
        <f t="shared" si="23"/>
        <v>1.3656647151220902</v>
      </c>
      <c r="K38" s="18">
        <f t="shared" si="23"/>
        <v>9.3619567804274357</v>
      </c>
      <c r="L38" s="18">
        <f t="shared" si="23"/>
        <v>11.424760816792803</v>
      </c>
      <c r="M38" s="18">
        <f t="shared" si="23"/>
        <v>12.535501451758773</v>
      </c>
      <c r="N38" s="18">
        <f t="shared" si="23"/>
        <v>13.487564853158169</v>
      </c>
      <c r="O38" s="18">
        <f t="shared" si="23"/>
        <v>14.280951020990997</v>
      </c>
      <c r="P38" s="18">
        <f t="shared" si="23"/>
        <v>15.55036888952354</v>
      </c>
      <c r="Q38" s="18">
        <f t="shared" si="23"/>
        <v>-0.96491880972635613</v>
      </c>
      <c r="R38" s="18">
        <f t="shared" si="23"/>
        <v>-1.151052611065154</v>
      </c>
      <c r="S38" s="18">
        <f t="shared" si="23"/>
        <v>-1.373175039524952</v>
      </c>
      <c r="T38" s="18">
        <f t="shared" si="23"/>
        <v>3.1078911941174141</v>
      </c>
      <c r="U38" s="18">
        <f t="shared" si="23"/>
        <v>-1.676267766927694</v>
      </c>
      <c r="V38" s="18">
        <f t="shared" si="23"/>
        <v>-17.263438690997418</v>
      </c>
      <c r="W38" s="21">
        <f t="shared" si="23"/>
        <v>-8.1553727824059976</v>
      </c>
    </row>
    <row r="39" spans="1:23" x14ac:dyDescent="0.3">
      <c r="B39" s="5" t="s">
        <v>51</v>
      </c>
      <c r="G39" s="18">
        <f t="shared" ref="G39:W39" si="24">G34-F34</f>
        <v>2.2677871388452573</v>
      </c>
      <c r="H39" s="18">
        <f t="shared" si="24"/>
        <v>3.9304583749821518</v>
      </c>
      <c r="I39" s="18">
        <f t="shared" si="24"/>
        <v>3.9304583749821518</v>
      </c>
      <c r="J39" s="18">
        <f t="shared" si="24"/>
        <v>9.1710695416250161</v>
      </c>
      <c r="K39" s="18">
        <f t="shared" si="24"/>
        <v>62.869865295825605</v>
      </c>
      <c r="L39" s="18">
        <f t="shared" si="24"/>
        <v>76.722547479651595</v>
      </c>
      <c r="M39" s="18">
        <f t="shared" si="24"/>
        <v>84.181684040173252</v>
      </c>
      <c r="N39" s="18">
        <f t="shared" si="24"/>
        <v>90.575229663477558</v>
      </c>
      <c r="O39" s="18">
        <f t="shared" si="24"/>
        <v>95.903184349564469</v>
      </c>
      <c r="P39" s="18">
        <f t="shared" si="24"/>
        <v>104.42791184730351</v>
      </c>
      <c r="Q39" s="18">
        <f t="shared" si="24"/>
        <v>-6.4798756298183662</v>
      </c>
      <c r="R39" s="18">
        <f t="shared" si="24"/>
        <v>-7.7298501054146982</v>
      </c>
      <c r="S39" s="18">
        <f t="shared" si="24"/>
        <v>-9.2215048399937132</v>
      </c>
      <c r="T39" s="18">
        <f t="shared" si="24"/>
        <v>20.87092531090741</v>
      </c>
      <c r="U39" s="18">
        <f t="shared" si="24"/>
        <v>-11.256912542771488</v>
      </c>
      <c r="V39" s="18">
        <f t="shared" si="24"/>
        <v>-115.93196705573746</v>
      </c>
      <c r="W39" s="21">
        <f t="shared" si="24"/>
        <v>-54.767096269771287</v>
      </c>
    </row>
    <row r="40" spans="1:23" s="19" customFormat="1" x14ac:dyDescent="0.3">
      <c r="A40" s="1"/>
      <c r="B40" s="7" t="s">
        <v>111</v>
      </c>
      <c r="C40" s="24"/>
      <c r="D40" s="24"/>
      <c r="E40" s="24"/>
      <c r="F40" s="24"/>
      <c r="G40" s="24">
        <f>SUM(G37:G39)</f>
        <v>1.6866280641629783</v>
      </c>
      <c r="H40" s="24">
        <f t="shared" ref="H40:W40" si="25">SUM(H37:H39)</f>
        <v>2.9232114807939462</v>
      </c>
      <c r="I40" s="24">
        <f t="shared" si="25"/>
        <v>2.9232114807939471</v>
      </c>
      <c r="J40" s="24">
        <f t="shared" si="25"/>
        <v>6.8208267885192049</v>
      </c>
      <c r="K40" s="24">
        <f t="shared" si="25"/>
        <v>46.758391641677385</v>
      </c>
      <c r="L40" s="24">
        <f t="shared" si="25"/>
        <v>57.061088105097838</v>
      </c>
      <c r="M40" s="24">
        <f t="shared" si="25"/>
        <v>62.608693893093445</v>
      </c>
      <c r="N40" s="24">
        <f t="shared" si="25"/>
        <v>67.363784568518241</v>
      </c>
      <c r="O40" s="24">
        <f t="shared" si="25"/>
        <v>71.326360131372255</v>
      </c>
      <c r="P40" s="24">
        <f t="shared" si="25"/>
        <v>77.666481031938659</v>
      </c>
      <c r="Q40" s="24">
        <f t="shared" si="25"/>
        <v>-4.8192971475720014</v>
      </c>
      <c r="R40" s="24">
        <f t="shared" si="25"/>
        <v>-5.7489443767655075</v>
      </c>
      <c r="S40" s="24">
        <f t="shared" si="25"/>
        <v>-6.8583371827691479</v>
      </c>
      <c r="T40" s="24">
        <f t="shared" si="25"/>
        <v>15.522395268698048</v>
      </c>
      <c r="U40" s="24">
        <f t="shared" si="25"/>
        <v>-8.3721369987724046</v>
      </c>
      <c r="V40" s="24">
        <f t="shared" si="25"/>
        <v>-86.222426179464691</v>
      </c>
      <c r="W40" s="25">
        <f t="shared" si="25"/>
        <v>-40.732095168485209</v>
      </c>
    </row>
    <row r="42" spans="1:23" x14ac:dyDescent="0.3">
      <c r="B42" s="159" t="s">
        <v>52</v>
      </c>
      <c r="C42" s="160"/>
      <c r="D42" s="160"/>
      <c r="E42" s="160"/>
      <c r="F42" s="160"/>
      <c r="G42" s="160"/>
      <c r="H42" s="160"/>
      <c r="I42" s="160"/>
      <c r="J42" s="160"/>
      <c r="K42" s="160"/>
      <c r="L42" s="160"/>
      <c r="M42" s="160"/>
      <c r="N42" s="160"/>
      <c r="O42" s="160"/>
      <c r="P42" s="160"/>
      <c r="Q42" s="160"/>
      <c r="R42" s="160"/>
      <c r="S42" s="160"/>
      <c r="T42" s="160"/>
      <c r="U42" s="160"/>
      <c r="V42" s="160"/>
      <c r="W42" s="161"/>
    </row>
    <row r="43" spans="1:23" x14ac:dyDescent="0.3">
      <c r="B43" s="162"/>
      <c r="C43" s="119" t="s">
        <v>24</v>
      </c>
      <c r="D43" s="119" t="s">
        <v>25</v>
      </c>
      <c r="E43" s="119" t="s">
        <v>26</v>
      </c>
      <c r="F43" s="119" t="s">
        <v>0</v>
      </c>
      <c r="G43" s="119" t="s">
        <v>1</v>
      </c>
      <c r="H43" s="119" t="s">
        <v>2</v>
      </c>
      <c r="I43" s="119" t="s">
        <v>3</v>
      </c>
      <c r="J43" s="119" t="s">
        <v>4</v>
      </c>
      <c r="K43" s="119" t="s">
        <v>5</v>
      </c>
      <c r="L43" s="119" t="s">
        <v>6</v>
      </c>
      <c r="M43" s="119" t="s">
        <v>7</v>
      </c>
      <c r="N43" s="119" t="s">
        <v>8</v>
      </c>
      <c r="O43" s="119" t="s">
        <v>9</v>
      </c>
      <c r="P43" s="119" t="s">
        <v>10</v>
      </c>
      <c r="Q43" s="119" t="s">
        <v>15</v>
      </c>
      <c r="R43" s="119" t="s">
        <v>16</v>
      </c>
      <c r="S43" s="119" t="s">
        <v>17</v>
      </c>
      <c r="T43" s="119" t="s">
        <v>18</v>
      </c>
      <c r="U43" s="119" t="s">
        <v>19</v>
      </c>
      <c r="V43" s="119" t="s">
        <v>20</v>
      </c>
      <c r="W43" s="163" t="s">
        <v>21</v>
      </c>
    </row>
    <row r="44" spans="1:23" x14ac:dyDescent="0.3">
      <c r="B44" s="3" t="s">
        <v>53</v>
      </c>
      <c r="C44" s="18">
        <f t="shared" ref="C44:J44" si="26">C17</f>
        <v>-32.83</v>
      </c>
      <c r="D44" s="18">
        <f t="shared" si="26"/>
        <v>-44.65</v>
      </c>
      <c r="E44" s="18">
        <f t="shared" si="26"/>
        <v>-58.015000000000001</v>
      </c>
      <c r="F44" s="18">
        <f t="shared" si="26"/>
        <v>-84.036000000000001</v>
      </c>
      <c r="G44" s="18">
        <f t="shared" si="26"/>
        <v>-110</v>
      </c>
      <c r="H44" s="18">
        <f t="shared" si="26"/>
        <v>-155</v>
      </c>
      <c r="I44" s="18">
        <f t="shared" si="26"/>
        <v>-200</v>
      </c>
      <c r="J44" s="18">
        <f t="shared" si="26"/>
        <v>-198.75</v>
      </c>
      <c r="K44" s="18">
        <f t="shared" ref="K44:W44" si="27">K17*(1-K25)</f>
        <v>-48</v>
      </c>
      <c r="L44" s="18">
        <f t="shared" si="27"/>
        <v>83.3</v>
      </c>
      <c r="M44" s="18">
        <f t="shared" si="27"/>
        <v>201.5625</v>
      </c>
      <c r="N44" s="18">
        <f t="shared" si="27"/>
        <v>281.25</v>
      </c>
      <c r="O44" s="18">
        <f t="shared" si="27"/>
        <v>361.875</v>
      </c>
      <c r="P44" s="18">
        <f t="shared" si="27"/>
        <v>456.75</v>
      </c>
      <c r="Q44" s="18">
        <f t="shared" si="27"/>
        <v>790.46676122735994</v>
      </c>
      <c r="R44" s="18">
        <f t="shared" si="27"/>
        <v>779.11947635193701</v>
      </c>
      <c r="S44" s="18">
        <f t="shared" si="27"/>
        <v>765.48520770731398</v>
      </c>
      <c r="T44" s="18">
        <f t="shared" si="27"/>
        <v>796.2663640779183</v>
      </c>
      <c r="U44" s="18">
        <f t="shared" si="27"/>
        <v>779.69358451789071</v>
      </c>
      <c r="V44" s="18">
        <f t="shared" si="27"/>
        <v>608.33152760547091</v>
      </c>
      <c r="W44" s="21">
        <f t="shared" si="27"/>
        <v>527.36344013997655</v>
      </c>
    </row>
    <row r="45" spans="1:23" x14ac:dyDescent="0.3">
      <c r="B45" s="26" t="s">
        <v>54</v>
      </c>
      <c r="C45" s="85">
        <v>1.44</v>
      </c>
      <c r="D45" s="85">
        <v>0.61699999999999999</v>
      </c>
      <c r="E45" s="85">
        <v>1.645</v>
      </c>
      <c r="F45" s="85">
        <v>1.375</v>
      </c>
      <c r="G45" s="18">
        <f>F45-0.237</f>
        <v>1.1379999999999999</v>
      </c>
      <c r="H45" s="18">
        <f>G45-0.237</f>
        <v>0.90099999999999991</v>
      </c>
      <c r="I45" s="18">
        <f>H45-0.237</f>
        <v>0.66399999999999992</v>
      </c>
      <c r="J45" s="18">
        <f>I45-0.237</f>
        <v>0.42699999999999994</v>
      </c>
      <c r="K45" s="18">
        <f>K47</f>
        <v>0.19012499999999999</v>
      </c>
      <c r="L45" s="18">
        <f t="shared" ref="L45:W45" si="28">L47</f>
        <v>0.19093749999999998</v>
      </c>
      <c r="M45" s="18">
        <f t="shared" si="28"/>
        <v>0.19053124999999999</v>
      </c>
      <c r="N45" s="18">
        <f t="shared" si="28"/>
        <v>0.19073437499999998</v>
      </c>
      <c r="O45" s="18">
        <f t="shared" si="28"/>
        <v>0.19063281249999997</v>
      </c>
      <c r="P45" s="18">
        <f t="shared" si="28"/>
        <v>0.19068359374999999</v>
      </c>
      <c r="Q45" s="18">
        <f t="shared" si="28"/>
        <v>0.19065820312499998</v>
      </c>
      <c r="R45" s="18">
        <f t="shared" si="28"/>
        <v>0.19067089843749999</v>
      </c>
      <c r="S45" s="18">
        <f t="shared" si="28"/>
        <v>0.19066455078125</v>
      </c>
      <c r="T45" s="18">
        <f t="shared" si="28"/>
        <v>0.19066772460937498</v>
      </c>
      <c r="U45" s="18">
        <f t="shared" si="28"/>
        <v>0.19066613769531249</v>
      </c>
      <c r="V45" s="18">
        <f t="shared" si="28"/>
        <v>0.19066693115234373</v>
      </c>
      <c r="W45" s="21">
        <f t="shared" si="28"/>
        <v>0.19066653442382811</v>
      </c>
    </row>
    <row r="46" spans="1:23" x14ac:dyDescent="0.3">
      <c r="B46" s="26" t="s">
        <v>55</v>
      </c>
      <c r="G46" s="18">
        <f>G40</f>
        <v>1.6866280641629783</v>
      </c>
      <c r="H46" s="18">
        <f t="shared" ref="H46:W46" si="29">H40</f>
        <v>2.9232114807939462</v>
      </c>
      <c r="I46" s="18">
        <f t="shared" si="29"/>
        <v>2.9232114807939471</v>
      </c>
      <c r="J46" s="18">
        <f t="shared" si="29"/>
        <v>6.8208267885192049</v>
      </c>
      <c r="K46" s="18">
        <f t="shared" si="29"/>
        <v>46.758391641677385</v>
      </c>
      <c r="L46" s="18">
        <f t="shared" si="29"/>
        <v>57.061088105097838</v>
      </c>
      <c r="M46" s="18">
        <f t="shared" si="29"/>
        <v>62.608693893093445</v>
      </c>
      <c r="N46" s="18">
        <f t="shared" si="29"/>
        <v>67.363784568518241</v>
      </c>
      <c r="O46" s="18">
        <f t="shared" si="29"/>
        <v>71.326360131372255</v>
      </c>
      <c r="P46" s="18">
        <f t="shared" si="29"/>
        <v>77.666481031938659</v>
      </c>
      <c r="Q46" s="18">
        <f t="shared" si="29"/>
        <v>-4.8192971475720014</v>
      </c>
      <c r="R46" s="18">
        <f t="shared" si="29"/>
        <v>-5.7489443767655075</v>
      </c>
      <c r="S46" s="18">
        <f t="shared" si="29"/>
        <v>-6.8583371827691479</v>
      </c>
      <c r="T46" s="18">
        <f t="shared" si="29"/>
        <v>15.522395268698048</v>
      </c>
      <c r="U46" s="18">
        <f t="shared" si="29"/>
        <v>-8.3721369987724046</v>
      </c>
      <c r="V46" s="18">
        <f t="shared" si="29"/>
        <v>-86.222426179464691</v>
      </c>
      <c r="W46" s="21">
        <f t="shared" si="29"/>
        <v>-40.732095168485209</v>
      </c>
    </row>
    <row r="47" spans="1:23" x14ac:dyDescent="0.3">
      <c r="B47" s="26" t="s">
        <v>56</v>
      </c>
      <c r="C47" s="85">
        <v>0.26700000000000002</v>
      </c>
      <c r="D47" s="85">
        <v>8.0000000000000002E-3</v>
      </c>
      <c r="E47" s="85">
        <v>0.156</v>
      </c>
      <c r="F47" s="85">
        <v>0.20799999999999999</v>
      </c>
      <c r="G47" s="18">
        <f>AVERAGE(F47,E47)</f>
        <v>0.182</v>
      </c>
      <c r="H47" s="18">
        <f t="shared" ref="H47:W47" si="30">AVERAGE(G47,F47)</f>
        <v>0.19500000000000001</v>
      </c>
      <c r="I47" s="18">
        <f t="shared" si="30"/>
        <v>0.1885</v>
      </c>
      <c r="J47" s="18">
        <f t="shared" si="30"/>
        <v>0.19175</v>
      </c>
      <c r="K47" s="18">
        <f t="shared" si="30"/>
        <v>0.19012499999999999</v>
      </c>
      <c r="L47" s="18">
        <f t="shared" si="30"/>
        <v>0.19093749999999998</v>
      </c>
      <c r="M47" s="18">
        <f t="shared" si="30"/>
        <v>0.19053124999999999</v>
      </c>
      <c r="N47" s="18">
        <f t="shared" si="30"/>
        <v>0.19073437499999998</v>
      </c>
      <c r="O47" s="18">
        <f t="shared" si="30"/>
        <v>0.19063281249999997</v>
      </c>
      <c r="P47" s="18">
        <f t="shared" si="30"/>
        <v>0.19068359374999999</v>
      </c>
      <c r="Q47" s="18">
        <f t="shared" si="30"/>
        <v>0.19065820312499998</v>
      </c>
      <c r="R47" s="18">
        <f t="shared" si="30"/>
        <v>0.19067089843749999</v>
      </c>
      <c r="S47" s="18">
        <f t="shared" si="30"/>
        <v>0.19066455078125</v>
      </c>
      <c r="T47" s="18">
        <f t="shared" si="30"/>
        <v>0.19066772460937498</v>
      </c>
      <c r="U47" s="18">
        <f t="shared" si="30"/>
        <v>0.19066613769531249</v>
      </c>
      <c r="V47" s="18">
        <f t="shared" si="30"/>
        <v>0.19066693115234373</v>
      </c>
      <c r="W47" s="21">
        <f t="shared" si="30"/>
        <v>0.19066653442382811</v>
      </c>
    </row>
    <row r="48" spans="1:23" x14ac:dyDescent="0.3">
      <c r="B48" s="3" t="s">
        <v>57</v>
      </c>
      <c r="G48" s="18">
        <f>G44+G45+G46-G47</f>
        <v>-107.35737193583702</v>
      </c>
      <c r="H48" s="18">
        <f t="shared" ref="H48:W48" si="31">H44+H45+H46-H47</f>
        <v>-151.37078851920603</v>
      </c>
      <c r="I48" s="18">
        <f t="shared" si="31"/>
        <v>-196.60128851920607</v>
      </c>
      <c r="J48" s="18">
        <f t="shared" si="31"/>
        <v>-191.69392321148081</v>
      </c>
      <c r="K48" s="18">
        <f t="shared" si="31"/>
        <v>-1.2416083583226136</v>
      </c>
      <c r="L48" s="18">
        <f t="shared" si="31"/>
        <v>140.36108810509785</v>
      </c>
      <c r="M48" s="18">
        <f t="shared" si="31"/>
        <v>264.17119389309346</v>
      </c>
      <c r="N48" s="18">
        <f t="shared" si="31"/>
        <v>348.61378456851827</v>
      </c>
      <c r="O48" s="18">
        <f t="shared" si="31"/>
        <v>433.20136013137227</v>
      </c>
      <c r="P48" s="18">
        <f t="shared" si="31"/>
        <v>534.4164810319387</v>
      </c>
      <c r="Q48" s="18">
        <f t="shared" si="31"/>
        <v>785.64746407978794</v>
      </c>
      <c r="R48" s="18">
        <f t="shared" si="31"/>
        <v>773.3705319751715</v>
      </c>
      <c r="S48" s="18">
        <f t="shared" si="31"/>
        <v>758.62687052454487</v>
      </c>
      <c r="T48" s="18">
        <f t="shared" si="31"/>
        <v>811.7887593466163</v>
      </c>
      <c r="U48" s="18">
        <f t="shared" si="31"/>
        <v>771.32144751911835</v>
      </c>
      <c r="V48" s="18">
        <f t="shared" si="31"/>
        <v>522.10910142600619</v>
      </c>
      <c r="W48" s="21">
        <f t="shared" si="31"/>
        <v>486.63134497149133</v>
      </c>
    </row>
    <row r="49" spans="2:23" x14ac:dyDescent="0.3">
      <c r="B49" s="3" t="s">
        <v>80</v>
      </c>
      <c r="G49" s="18">
        <f>G48*RPM!$C$11</f>
        <v>-21.471474387167405</v>
      </c>
      <c r="H49" s="18">
        <f>H48*RPM!$C$11</f>
        <v>-30.274157703841208</v>
      </c>
      <c r="I49" s="18">
        <f>I48*RPM!$C$11</f>
        <v>-39.320257703841214</v>
      </c>
      <c r="J49" s="18">
        <f>J48*RPM!$C$11</f>
        <v>-38.338784642296162</v>
      </c>
      <c r="K49" s="18">
        <f>K48*RPM!$C$11</f>
        <v>-0.24832167166452274</v>
      </c>
      <c r="L49" s="18">
        <f>L48*RPM!$C$11</f>
        <v>28.072217621019572</v>
      </c>
      <c r="M49" s="18">
        <f>M48*RPM!$C$11</f>
        <v>52.834238778618698</v>
      </c>
      <c r="N49" s="18">
        <f>N48*RPM!$C$11</f>
        <v>69.722756913703662</v>
      </c>
      <c r="O49" s="18">
        <f>O48*RPM!$C$11</f>
        <v>86.640272026274459</v>
      </c>
      <c r="P49" s="18">
        <f>P48*RPM!$C$11</f>
        <v>106.88329620638774</v>
      </c>
      <c r="Q49" s="18">
        <f>Q48*RPM!$C$11</f>
        <v>157.1294928159576</v>
      </c>
      <c r="R49" s="18">
        <f>R48*RPM!$C$11</f>
        <v>154.6741063950343</v>
      </c>
      <c r="S49" s="18">
        <f>S48*RPM!$C$11</f>
        <v>151.72537410490898</v>
      </c>
      <c r="T49" s="18">
        <f>T48*RPM!$C$11</f>
        <v>162.35775186932327</v>
      </c>
      <c r="U49" s="18">
        <f>U48*RPM!$C$11</f>
        <v>154.26428950382368</v>
      </c>
      <c r="V49" s="18">
        <f>V48*RPM!$C$11</f>
        <v>104.42182028520125</v>
      </c>
      <c r="W49" s="21">
        <f>W48*RPM!$C$11</f>
        <v>97.326268994298275</v>
      </c>
    </row>
    <row r="50" spans="2:23" x14ac:dyDescent="0.3">
      <c r="B50" s="3" t="s">
        <v>58</v>
      </c>
      <c r="G50" s="30">
        <f>1/(1+Summary!$C$22)^1</f>
        <v>0.89773537274870407</v>
      </c>
      <c r="H50" s="30">
        <f>1/(1+Summary!$C$22)^2</f>
        <v>0.80592879948425467</v>
      </c>
      <c r="I50" s="30">
        <f>1/(1+Summary!$C$22)^3</f>
        <v>0.72351079121391293</v>
      </c>
      <c r="J50" s="30">
        <f>1/(1+Summary!$C$22)^4</f>
        <v>0.64952122983813199</v>
      </c>
      <c r="K50" s="30">
        <f>1/(1+Summary!$C$22)^5</f>
        <v>0.58309818337693209</v>
      </c>
      <c r="L50" s="30">
        <f>1/(1+Summary!$C$22)^6</f>
        <v>0.52346786500298237</v>
      </c>
      <c r="M50" s="30">
        <f>1/(1+Summary!$C$22)^7</f>
        <v>0.46993561891042063</v>
      </c>
      <c r="N50" s="30">
        <f>1/(1+Summary!$C$22)^8</f>
        <v>0.42187782801043944</v>
      </c>
      <c r="O50" s="30">
        <f>1/(1+Summary!$C$22)^9</f>
        <v>0.37873464918336552</v>
      </c>
      <c r="P50" s="30">
        <f>1/(1+Summary!$C$22)^10</f>
        <v>0.34000349145747832</v>
      </c>
      <c r="Q50" s="30">
        <f>1/(1+Summary!$C$22)^11</f>
        <v>0.3052331611394401</v>
      </c>
      <c r="R50" s="30">
        <f>1/(1+Summary!$C$22)^12</f>
        <v>0.27401860569078051</v>
      </c>
      <c r="S50" s="30">
        <f>1/(1+Summary!$C$22)^13</f>
        <v>0.24599619511989304</v>
      </c>
      <c r="T50" s="30">
        <f>1/(1+Summary!$C$22)^14</f>
        <v>0.22083948592072014</v>
      </c>
      <c r="U50" s="30">
        <f>1/(1+Summary!$C$22)^15</f>
        <v>0.19825541821066983</v>
      </c>
      <c r="V50" s="30">
        <f>1/(1+Summary!$C$22)^16</f>
        <v>0.17798090176680592</v>
      </c>
      <c r="W50" s="31">
        <f>1/(1+Summary!$C$22)^17</f>
        <v>0.159779751189774</v>
      </c>
    </row>
    <row r="51" spans="2:23" x14ac:dyDescent="0.3">
      <c r="B51" s="17" t="s">
        <v>59</v>
      </c>
      <c r="C51" s="27"/>
      <c r="D51" s="27"/>
      <c r="E51" s="27"/>
      <c r="F51" s="27"/>
      <c r="G51" s="27">
        <f>G50*G49</f>
        <v>-19.275702062427982</v>
      </c>
      <c r="H51" s="27">
        <f t="shared" ref="H51:W51" si="32">H50*H49</f>
        <v>-24.398815573653746</v>
      </c>
      <c r="I51" s="27">
        <f t="shared" si="32"/>
        <v>-28.448630762041113</v>
      </c>
      <c r="J51" s="27">
        <f t="shared" si="32"/>
        <v>-24.901854551363488</v>
      </c>
      <c r="K51" s="27">
        <f t="shared" si="32"/>
        <v>-0.14479591564070621</v>
      </c>
      <c r="L51" s="27">
        <f t="shared" si="32"/>
        <v>14.694903823974217</v>
      </c>
      <c r="M51" s="27">
        <f t="shared" si="32"/>
        <v>24.828690700091123</v>
      </c>
      <c r="N51" s="27">
        <f t="shared" si="32"/>
        <v>29.414485249653151</v>
      </c>
      <c r="O51" s="27">
        <f t="shared" si="32"/>
        <v>32.813673031022418</v>
      </c>
      <c r="P51" s="27">
        <f t="shared" si="32"/>
        <v>36.340693888655679</v>
      </c>
      <c r="Q51" s="27">
        <f t="shared" si="32"/>
        <v>47.961131800451682</v>
      </c>
      <c r="R51" s="27">
        <f t="shared" si="32"/>
        <v>42.383582970834738</v>
      </c>
      <c r="S51" s="27">
        <f t="shared" si="32"/>
        <v>37.323864732949957</v>
      </c>
      <c r="T51" s="27">
        <f t="shared" si="32"/>
        <v>35.855002458065186</v>
      </c>
      <c r="U51" s="27">
        <f t="shared" si="32"/>
        <v>30.583731230552406</v>
      </c>
      <c r="V51" s="27">
        <f t="shared" si="32"/>
        <v>18.585089738491465</v>
      </c>
      <c r="W51" s="28">
        <f t="shared" si="32"/>
        <v>15.550767044137993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F4200-0D12-4625-9BE2-F93A643D430D}">
  <dimension ref="A2:AA43"/>
  <sheetViews>
    <sheetView showGridLines="0" zoomScale="73" workbookViewId="0">
      <selection activeCell="T34" sqref="T34"/>
    </sheetView>
  </sheetViews>
  <sheetFormatPr defaultRowHeight="14.4" x14ac:dyDescent="0.3"/>
  <cols>
    <col min="1" max="1" width="2.77734375" customWidth="1"/>
    <col min="2" max="2" width="24.109375" customWidth="1"/>
    <col min="3" max="3" width="9.6640625" customWidth="1"/>
    <col min="4" max="4" width="20.77734375" customWidth="1"/>
    <col min="5" max="5" width="30.77734375" customWidth="1"/>
    <col min="6" max="22" width="20.77734375" customWidth="1"/>
    <col min="23" max="29" width="15.77734375" customWidth="1"/>
  </cols>
  <sheetData>
    <row r="2" spans="1:24" s="9" customFormat="1" x14ac:dyDescent="0.3">
      <c r="A2" s="94"/>
      <c r="B2" s="100" t="s">
        <v>81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</row>
    <row r="4" spans="1:24" ht="15" thickBot="1" x14ac:dyDescent="0.35">
      <c r="E4" s="103" t="s">
        <v>82</v>
      </c>
      <c r="F4" s="101" t="s">
        <v>26</v>
      </c>
      <c r="G4" s="101" t="s">
        <v>0</v>
      </c>
      <c r="H4" s="101" t="s">
        <v>1</v>
      </c>
      <c r="I4" s="101" t="s">
        <v>2</v>
      </c>
      <c r="J4" s="101" t="s">
        <v>3</v>
      </c>
      <c r="K4" s="101" t="s">
        <v>4</v>
      </c>
      <c r="L4" s="101" t="s">
        <v>5</v>
      </c>
      <c r="M4" s="101" t="s">
        <v>6</v>
      </c>
      <c r="N4" s="101" t="s">
        <v>7</v>
      </c>
      <c r="O4" s="101" t="s">
        <v>8</v>
      </c>
      <c r="P4" s="101" t="s">
        <v>9</v>
      </c>
      <c r="Q4" s="102" t="s">
        <v>10</v>
      </c>
      <c r="R4" s="101" t="s">
        <v>15</v>
      </c>
      <c r="S4" s="101" t="s">
        <v>16</v>
      </c>
      <c r="T4" s="101" t="s">
        <v>17</v>
      </c>
      <c r="U4" s="101" t="s">
        <v>18</v>
      </c>
      <c r="V4" s="101" t="s">
        <v>19</v>
      </c>
      <c r="W4" s="101" t="s">
        <v>20</v>
      </c>
      <c r="X4" s="101" t="s">
        <v>21</v>
      </c>
    </row>
    <row r="5" spans="1:24" x14ac:dyDescent="0.3">
      <c r="A5" s="108"/>
      <c r="B5" s="107" t="s">
        <v>103</v>
      </c>
      <c r="C5" s="106"/>
      <c r="E5" s="120" t="s">
        <v>83</v>
      </c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2"/>
      <c r="R5" s="121"/>
      <c r="S5" s="121"/>
      <c r="T5" s="121"/>
      <c r="U5" s="121"/>
      <c r="V5" s="121"/>
      <c r="W5" s="121"/>
      <c r="X5" s="121"/>
    </row>
    <row r="6" spans="1:24" x14ac:dyDescent="0.3">
      <c r="B6" s="124" t="s">
        <v>14</v>
      </c>
      <c r="C6" s="125"/>
      <c r="E6" s="123" t="s">
        <v>84</v>
      </c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2"/>
      <c r="R6" s="121"/>
      <c r="S6" s="121"/>
      <c r="T6" s="121"/>
      <c r="U6" s="121"/>
      <c r="V6" s="121"/>
      <c r="W6" s="121"/>
      <c r="X6" s="121"/>
    </row>
    <row r="7" spans="1:24" x14ac:dyDescent="0.3">
      <c r="B7" s="104" t="s">
        <v>11</v>
      </c>
      <c r="C7" s="126">
        <v>0.4</v>
      </c>
      <c r="E7" s="134" t="s">
        <v>85</v>
      </c>
      <c r="F7" s="138">
        <v>3030000</v>
      </c>
      <c r="G7" s="138">
        <v>3060300</v>
      </c>
      <c r="H7" s="138">
        <v>3090903</v>
      </c>
      <c r="I7" s="138">
        <v>3121812</v>
      </c>
      <c r="J7" s="138">
        <v>3153030</v>
      </c>
      <c r="K7" s="138">
        <v>3184560</v>
      </c>
      <c r="L7" s="138">
        <v>3216406</v>
      </c>
      <c r="M7" s="138">
        <v>3248570</v>
      </c>
      <c r="N7" s="138">
        <v>3281056</v>
      </c>
      <c r="O7" s="138">
        <v>3313866</v>
      </c>
      <c r="P7" s="138">
        <v>3347005</v>
      </c>
      <c r="Q7" s="139">
        <v>3380475</v>
      </c>
      <c r="R7" s="146">
        <f>Q7*(1.01)</f>
        <v>3414279.75</v>
      </c>
      <c r="S7" s="146">
        <f t="shared" ref="S7:X7" si="0">R7*(1.01)</f>
        <v>3448422.5474999999</v>
      </c>
      <c r="T7" s="146">
        <f t="shared" si="0"/>
        <v>3482906.7729750001</v>
      </c>
      <c r="U7" s="146">
        <f t="shared" si="0"/>
        <v>3517735.8407047503</v>
      </c>
      <c r="V7" s="146">
        <f t="shared" si="0"/>
        <v>3552913.1991117978</v>
      </c>
      <c r="W7" s="146">
        <f t="shared" si="0"/>
        <v>3588442.331102916</v>
      </c>
      <c r="X7" s="146">
        <f t="shared" si="0"/>
        <v>3624326.7544139451</v>
      </c>
    </row>
    <row r="8" spans="1:24" x14ac:dyDescent="0.3">
      <c r="B8" s="105" t="s">
        <v>12</v>
      </c>
      <c r="C8" s="127">
        <v>0.3</v>
      </c>
      <c r="E8" s="42" t="s">
        <v>86</v>
      </c>
      <c r="F8" s="52">
        <f t="shared" ref="F8:S8" si="1">F7*F9</f>
        <v>606000</v>
      </c>
      <c r="G8" s="52">
        <f t="shared" si="1"/>
        <v>612060</v>
      </c>
      <c r="H8" s="52">
        <f t="shared" si="1"/>
        <v>618180.6</v>
      </c>
      <c r="I8" s="52">
        <f t="shared" si="1"/>
        <v>624362.4</v>
      </c>
      <c r="J8" s="52">
        <f t="shared" si="1"/>
        <v>630606</v>
      </c>
      <c r="K8" s="52">
        <f t="shared" si="1"/>
        <v>636912</v>
      </c>
      <c r="L8" s="52">
        <f t="shared" si="1"/>
        <v>643281.20000000007</v>
      </c>
      <c r="M8" s="52">
        <f t="shared" si="1"/>
        <v>649714</v>
      </c>
      <c r="N8" s="52">
        <f t="shared" si="1"/>
        <v>656211.20000000007</v>
      </c>
      <c r="O8" s="52">
        <f t="shared" si="1"/>
        <v>662773.20000000007</v>
      </c>
      <c r="P8" s="52">
        <f t="shared" si="1"/>
        <v>669401</v>
      </c>
      <c r="Q8" s="53">
        <f t="shared" si="1"/>
        <v>676095</v>
      </c>
      <c r="R8" s="52">
        <f t="shared" si="1"/>
        <v>682855.95000000007</v>
      </c>
      <c r="S8" s="52">
        <f t="shared" si="1"/>
        <v>689684.50950000004</v>
      </c>
      <c r="T8" s="52">
        <f t="shared" ref="T8:X8" si="2">T7*T9</f>
        <v>696581.35459500004</v>
      </c>
      <c r="U8" s="52">
        <f t="shared" si="2"/>
        <v>703547.16814095015</v>
      </c>
      <c r="V8" s="52">
        <f t="shared" si="2"/>
        <v>710582.63982235966</v>
      </c>
      <c r="W8" s="52">
        <f t="shared" si="2"/>
        <v>717688.4662205833</v>
      </c>
      <c r="X8" s="52">
        <f t="shared" si="2"/>
        <v>724865.35088278912</v>
      </c>
    </row>
    <row r="9" spans="1:24" x14ac:dyDescent="0.3">
      <c r="B9" s="128" t="s">
        <v>13</v>
      </c>
      <c r="C9" s="129">
        <v>0.2</v>
      </c>
      <c r="E9" s="135" t="s">
        <v>87</v>
      </c>
      <c r="F9" s="140">
        <v>0.2</v>
      </c>
      <c r="G9" s="141">
        <f t="shared" ref="G9:R9" si="3">F9</f>
        <v>0.2</v>
      </c>
      <c r="H9" s="141">
        <f t="shared" si="3"/>
        <v>0.2</v>
      </c>
      <c r="I9" s="141">
        <f t="shared" si="3"/>
        <v>0.2</v>
      </c>
      <c r="J9" s="141">
        <f t="shared" si="3"/>
        <v>0.2</v>
      </c>
      <c r="K9" s="141">
        <f t="shared" si="3"/>
        <v>0.2</v>
      </c>
      <c r="L9" s="141">
        <f t="shared" si="3"/>
        <v>0.2</v>
      </c>
      <c r="M9" s="141">
        <f t="shared" si="3"/>
        <v>0.2</v>
      </c>
      <c r="N9" s="141">
        <f t="shared" si="3"/>
        <v>0.2</v>
      </c>
      <c r="O9" s="141">
        <f t="shared" si="3"/>
        <v>0.2</v>
      </c>
      <c r="P9" s="141">
        <f t="shared" si="3"/>
        <v>0.2</v>
      </c>
      <c r="Q9" s="142">
        <f t="shared" si="3"/>
        <v>0.2</v>
      </c>
      <c r="R9" s="147">
        <f t="shared" si="3"/>
        <v>0.2</v>
      </c>
      <c r="S9" s="147">
        <f t="shared" ref="S9:X9" si="4">R9</f>
        <v>0.2</v>
      </c>
      <c r="T9" s="147">
        <f t="shared" si="4"/>
        <v>0.2</v>
      </c>
      <c r="U9" s="147">
        <f t="shared" si="4"/>
        <v>0.2</v>
      </c>
      <c r="V9" s="147">
        <f t="shared" si="4"/>
        <v>0.2</v>
      </c>
      <c r="W9" s="147">
        <f t="shared" si="4"/>
        <v>0.2</v>
      </c>
      <c r="X9" s="147">
        <f t="shared" si="4"/>
        <v>0.2</v>
      </c>
    </row>
    <row r="10" spans="1:24" ht="4.05" customHeight="1" x14ac:dyDescent="0.3">
      <c r="B10" s="130"/>
      <c r="C10" s="132"/>
      <c r="E10" s="42" t="s">
        <v>88</v>
      </c>
      <c r="F10" s="52">
        <f t="shared" ref="F10:R10" si="5">F8*F11</f>
        <v>484800</v>
      </c>
      <c r="G10" s="52">
        <f t="shared" si="5"/>
        <v>489648</v>
      </c>
      <c r="H10" s="52">
        <f t="shared" si="5"/>
        <v>494544.48</v>
      </c>
      <c r="I10" s="52">
        <f t="shared" si="5"/>
        <v>499489.92000000004</v>
      </c>
      <c r="J10" s="52">
        <f t="shared" si="5"/>
        <v>504484.80000000005</v>
      </c>
      <c r="K10" s="52">
        <f t="shared" si="5"/>
        <v>509529.60000000003</v>
      </c>
      <c r="L10" s="52">
        <f t="shared" si="5"/>
        <v>514624.96000000008</v>
      </c>
      <c r="M10" s="52">
        <f t="shared" si="5"/>
        <v>519771.2</v>
      </c>
      <c r="N10" s="52">
        <f t="shared" si="5"/>
        <v>524968.96000000008</v>
      </c>
      <c r="O10" s="52">
        <f t="shared" si="5"/>
        <v>530218.56000000006</v>
      </c>
      <c r="P10" s="52">
        <f t="shared" si="5"/>
        <v>535520.80000000005</v>
      </c>
      <c r="Q10" s="53">
        <f t="shared" si="5"/>
        <v>540876</v>
      </c>
      <c r="R10" s="52">
        <f t="shared" si="5"/>
        <v>546284.76000000013</v>
      </c>
      <c r="S10" s="52">
        <f t="shared" ref="S10:X10" si="6">S8*S11</f>
        <v>551747.6076000001</v>
      </c>
      <c r="T10" s="52">
        <f t="shared" si="6"/>
        <v>557265.08367600001</v>
      </c>
      <c r="U10" s="52">
        <f t="shared" si="6"/>
        <v>562837.73451276019</v>
      </c>
      <c r="V10" s="52">
        <f t="shared" si="6"/>
        <v>568466.11185788771</v>
      </c>
      <c r="W10" s="52">
        <f t="shared" si="6"/>
        <v>574150.77297646669</v>
      </c>
      <c r="X10" s="52">
        <f t="shared" si="6"/>
        <v>579892.28070623137</v>
      </c>
    </row>
    <row r="11" spans="1:24" ht="15" thickBot="1" x14ac:dyDescent="0.35">
      <c r="B11" s="131" t="str">
        <f>" Using: "&amp;CHOOSE(Summary!$B$4,B7,B8,B9)</f>
        <v xml:space="preserve"> Using: Bear Case</v>
      </c>
      <c r="C11" s="133">
        <f>CHOOSE(Summary!$B$4,C7,C8,C9)</f>
        <v>0.2</v>
      </c>
      <c r="E11" s="135" t="s">
        <v>89</v>
      </c>
      <c r="F11" s="140">
        <v>0.8</v>
      </c>
      <c r="G11" s="141">
        <f t="shared" ref="G11:R11" si="7">F11</f>
        <v>0.8</v>
      </c>
      <c r="H11" s="141">
        <f t="shared" si="7"/>
        <v>0.8</v>
      </c>
      <c r="I11" s="141">
        <f t="shared" si="7"/>
        <v>0.8</v>
      </c>
      <c r="J11" s="141">
        <f t="shared" si="7"/>
        <v>0.8</v>
      </c>
      <c r="K11" s="141">
        <f t="shared" si="7"/>
        <v>0.8</v>
      </c>
      <c r="L11" s="141">
        <f t="shared" si="7"/>
        <v>0.8</v>
      </c>
      <c r="M11" s="141">
        <f t="shared" si="7"/>
        <v>0.8</v>
      </c>
      <c r="N11" s="141">
        <f t="shared" si="7"/>
        <v>0.8</v>
      </c>
      <c r="O11" s="141">
        <f t="shared" si="7"/>
        <v>0.8</v>
      </c>
      <c r="P11" s="141">
        <f t="shared" si="7"/>
        <v>0.8</v>
      </c>
      <c r="Q11" s="142">
        <f t="shared" si="7"/>
        <v>0.8</v>
      </c>
      <c r="R11" s="147">
        <f t="shared" si="7"/>
        <v>0.8</v>
      </c>
      <c r="S11" s="147">
        <f t="shared" ref="S11:X11" si="8">R11</f>
        <v>0.8</v>
      </c>
      <c r="T11" s="147">
        <f t="shared" si="8"/>
        <v>0.8</v>
      </c>
      <c r="U11" s="147">
        <f t="shared" si="8"/>
        <v>0.8</v>
      </c>
      <c r="V11" s="147">
        <f t="shared" si="8"/>
        <v>0.8</v>
      </c>
      <c r="W11" s="147">
        <f t="shared" si="8"/>
        <v>0.8</v>
      </c>
      <c r="X11" s="147">
        <f t="shared" si="8"/>
        <v>0.8</v>
      </c>
    </row>
    <row r="12" spans="1:24" x14ac:dyDescent="0.3">
      <c r="E12" s="42" t="s">
        <v>90</v>
      </c>
      <c r="F12" s="52">
        <f t="shared" ref="F12:Q12" si="9">F8*F13</f>
        <v>121200</v>
      </c>
      <c r="G12" s="52">
        <f t="shared" si="9"/>
        <v>122412</v>
      </c>
      <c r="H12" s="52">
        <f t="shared" si="9"/>
        <v>123636.12</v>
      </c>
      <c r="I12" s="52">
        <f t="shared" si="9"/>
        <v>124872.48000000001</v>
      </c>
      <c r="J12" s="52">
        <f t="shared" si="9"/>
        <v>126121.20000000001</v>
      </c>
      <c r="K12" s="52">
        <f t="shared" si="9"/>
        <v>127382.40000000001</v>
      </c>
      <c r="L12" s="52">
        <f t="shared" si="9"/>
        <v>128656.24000000002</v>
      </c>
      <c r="M12" s="52">
        <f t="shared" si="9"/>
        <v>129942.8</v>
      </c>
      <c r="N12" s="52">
        <f t="shared" si="9"/>
        <v>131242.24000000002</v>
      </c>
      <c r="O12" s="52">
        <f t="shared" si="9"/>
        <v>132554.64000000001</v>
      </c>
      <c r="P12" s="52">
        <f t="shared" si="9"/>
        <v>133880.20000000001</v>
      </c>
      <c r="Q12" s="53">
        <f t="shared" si="9"/>
        <v>135219</v>
      </c>
      <c r="R12" s="69">
        <f>R13*R8</f>
        <v>136571.19000000003</v>
      </c>
      <c r="S12" s="69">
        <f t="shared" ref="S12:X12" si="10">S13*S8</f>
        <v>137936.90190000003</v>
      </c>
      <c r="T12" s="69">
        <f t="shared" si="10"/>
        <v>139316.270919</v>
      </c>
      <c r="U12" s="69">
        <f t="shared" si="10"/>
        <v>140709.43362819005</v>
      </c>
      <c r="V12" s="69">
        <f t="shared" si="10"/>
        <v>142116.52796447193</v>
      </c>
      <c r="W12" s="69">
        <f t="shared" si="10"/>
        <v>143537.69324411667</v>
      </c>
      <c r="X12" s="69">
        <f t="shared" si="10"/>
        <v>144973.07017655784</v>
      </c>
    </row>
    <row r="13" spans="1:24" x14ac:dyDescent="0.3">
      <c r="E13" s="135" t="s">
        <v>89</v>
      </c>
      <c r="F13" s="140">
        <v>0.2</v>
      </c>
      <c r="G13" s="141">
        <f t="shared" ref="G13:R13" si="11">F13</f>
        <v>0.2</v>
      </c>
      <c r="H13" s="141">
        <f t="shared" si="11"/>
        <v>0.2</v>
      </c>
      <c r="I13" s="141">
        <f t="shared" si="11"/>
        <v>0.2</v>
      </c>
      <c r="J13" s="141">
        <f t="shared" si="11"/>
        <v>0.2</v>
      </c>
      <c r="K13" s="141">
        <f t="shared" si="11"/>
        <v>0.2</v>
      </c>
      <c r="L13" s="141">
        <f t="shared" si="11"/>
        <v>0.2</v>
      </c>
      <c r="M13" s="141">
        <f t="shared" si="11"/>
        <v>0.2</v>
      </c>
      <c r="N13" s="141">
        <f t="shared" si="11"/>
        <v>0.2</v>
      </c>
      <c r="O13" s="141">
        <f t="shared" si="11"/>
        <v>0.2</v>
      </c>
      <c r="P13" s="141">
        <f t="shared" si="11"/>
        <v>0.2</v>
      </c>
      <c r="Q13" s="142">
        <f t="shared" si="11"/>
        <v>0.2</v>
      </c>
      <c r="R13" s="147">
        <f t="shared" si="11"/>
        <v>0.2</v>
      </c>
      <c r="S13" s="147">
        <f t="shared" ref="S13:X13" si="12">R13</f>
        <v>0.2</v>
      </c>
      <c r="T13" s="147">
        <f t="shared" si="12"/>
        <v>0.2</v>
      </c>
      <c r="U13" s="147">
        <f t="shared" si="12"/>
        <v>0.2</v>
      </c>
      <c r="V13" s="147">
        <f t="shared" si="12"/>
        <v>0.2</v>
      </c>
      <c r="W13" s="147">
        <f t="shared" si="12"/>
        <v>0.2</v>
      </c>
      <c r="X13" s="147">
        <f t="shared" si="12"/>
        <v>0.2</v>
      </c>
    </row>
    <row r="14" spans="1:24" x14ac:dyDescent="0.3">
      <c r="E14" s="43" t="s">
        <v>91</v>
      </c>
      <c r="F14" s="55"/>
      <c r="G14" s="55"/>
      <c r="H14" s="55"/>
      <c r="I14" s="55"/>
      <c r="J14" s="55"/>
      <c r="K14" s="45">
        <f t="shared" ref="K14:Q14" si="13">K8*K15</f>
        <v>6369.12</v>
      </c>
      <c r="L14" s="45">
        <f t="shared" si="13"/>
        <v>16082.030000000002</v>
      </c>
      <c r="M14" s="45">
        <f t="shared" si="13"/>
        <v>25988.560000000001</v>
      </c>
      <c r="N14" s="45">
        <f t="shared" si="13"/>
        <v>36091.616000000002</v>
      </c>
      <c r="O14" s="45">
        <f t="shared" si="13"/>
        <v>46394.124000000011</v>
      </c>
      <c r="P14" s="45">
        <f t="shared" si="13"/>
        <v>56899.085000000006</v>
      </c>
      <c r="Q14" s="46">
        <f t="shared" si="13"/>
        <v>67609.5</v>
      </c>
      <c r="R14" s="70">
        <f>R15*R8</f>
        <v>64871.315250000007</v>
      </c>
      <c r="S14" s="70">
        <f t="shared" ref="S14:X14" si="14">S15*S8</f>
        <v>62071.605855000002</v>
      </c>
      <c r="T14" s="70">
        <f t="shared" si="14"/>
        <v>59209.415140575009</v>
      </c>
      <c r="U14" s="70">
        <f t="shared" si="14"/>
        <v>59801.509291980765</v>
      </c>
      <c r="V14" s="70">
        <f t="shared" si="14"/>
        <v>56846.611185788774</v>
      </c>
      <c r="W14" s="70">
        <f t="shared" si="14"/>
        <v>43061.307973234994</v>
      </c>
      <c r="X14" s="70">
        <f t="shared" si="14"/>
        <v>36243.26754413946</v>
      </c>
    </row>
    <row r="15" spans="1:24" x14ac:dyDescent="0.3">
      <c r="C15" s="84"/>
      <c r="E15" s="135" t="s">
        <v>89</v>
      </c>
      <c r="F15" s="143"/>
      <c r="G15" s="143"/>
      <c r="H15" s="143"/>
      <c r="I15" s="143"/>
      <c r="J15" s="143"/>
      <c r="K15" s="144">
        <v>0.01</v>
      </c>
      <c r="L15" s="144">
        <v>2.5000000000000001E-2</v>
      </c>
      <c r="M15" s="144">
        <v>0.04</v>
      </c>
      <c r="N15" s="144">
        <v>5.5E-2</v>
      </c>
      <c r="O15" s="144">
        <v>7.0000000000000007E-2</v>
      </c>
      <c r="P15" s="144">
        <v>8.5000000000000006E-2</v>
      </c>
      <c r="Q15" s="145">
        <v>0.1</v>
      </c>
      <c r="R15" s="148">
        <f t="shared" ref="R15:X15" si="15">R36</f>
        <v>9.5000000000000001E-2</v>
      </c>
      <c r="S15" s="148">
        <f t="shared" si="15"/>
        <v>0.09</v>
      </c>
      <c r="T15" s="148">
        <f t="shared" si="15"/>
        <v>8.5000000000000006E-2</v>
      </c>
      <c r="U15" s="148">
        <f t="shared" si="15"/>
        <v>8.5000000000000006E-2</v>
      </c>
      <c r="V15" s="148">
        <f t="shared" si="15"/>
        <v>0.08</v>
      </c>
      <c r="W15" s="148">
        <f t="shared" si="15"/>
        <v>0.06</v>
      </c>
      <c r="X15" s="148">
        <f t="shared" si="15"/>
        <v>0.05</v>
      </c>
    </row>
    <row r="16" spans="1:24" x14ac:dyDescent="0.3">
      <c r="E16" s="41" t="s">
        <v>92</v>
      </c>
      <c r="F16" s="56"/>
      <c r="G16" s="56"/>
      <c r="H16" s="56"/>
      <c r="I16" s="56"/>
      <c r="J16" s="56"/>
      <c r="K16" s="57">
        <v>20000</v>
      </c>
      <c r="L16" s="57">
        <v>20600</v>
      </c>
      <c r="M16" s="57">
        <v>21218</v>
      </c>
      <c r="N16" s="57">
        <v>21855</v>
      </c>
      <c r="O16" s="57">
        <v>22510</v>
      </c>
      <c r="P16" s="57">
        <v>23185</v>
      </c>
      <c r="Q16" s="58">
        <v>23881</v>
      </c>
      <c r="R16" s="71">
        <f>Q16*(1.03)</f>
        <v>24597.43</v>
      </c>
      <c r="S16" s="71">
        <f t="shared" ref="S16:X16" si="16">R16*(1.03)</f>
        <v>25335.352900000002</v>
      </c>
      <c r="T16" s="71">
        <f t="shared" si="16"/>
        <v>26095.413487000002</v>
      </c>
      <c r="U16" s="71">
        <f t="shared" si="16"/>
        <v>26878.275891610003</v>
      </c>
      <c r="V16" s="71">
        <f t="shared" si="16"/>
        <v>27684.624168358303</v>
      </c>
      <c r="W16" s="71">
        <f t="shared" si="16"/>
        <v>28515.162893409051</v>
      </c>
      <c r="X16" s="71">
        <f t="shared" si="16"/>
        <v>29370.617780211323</v>
      </c>
    </row>
    <row r="17" spans="5:24" x14ac:dyDescent="0.3">
      <c r="E17" s="42"/>
      <c r="F17" s="34"/>
      <c r="G17" s="34"/>
      <c r="H17" s="34"/>
      <c r="I17" s="34"/>
      <c r="J17" s="34"/>
      <c r="K17" s="50" t="s">
        <v>99</v>
      </c>
      <c r="L17" s="34"/>
      <c r="M17" s="34"/>
      <c r="N17" s="34"/>
      <c r="O17" s="34"/>
      <c r="P17" s="34"/>
      <c r="Q17" s="59"/>
      <c r="R17" s="34"/>
      <c r="S17" s="34"/>
      <c r="T17" s="34"/>
      <c r="U17" s="34"/>
      <c r="V17" s="34"/>
      <c r="W17" s="34"/>
      <c r="X17" s="34"/>
    </row>
    <row r="18" spans="5:24" x14ac:dyDescent="0.3">
      <c r="E18" s="44" t="s">
        <v>93</v>
      </c>
      <c r="F18" s="40"/>
      <c r="G18" s="40"/>
      <c r="H18" s="40"/>
      <c r="I18" s="72"/>
      <c r="J18" s="72"/>
      <c r="K18" s="60">
        <v>125</v>
      </c>
      <c r="L18" s="60">
        <v>330</v>
      </c>
      <c r="M18" s="60">
        <v>550</v>
      </c>
      <c r="N18" s="60">
        <v>790</v>
      </c>
      <c r="O18" s="60">
        <v>1045</v>
      </c>
      <c r="P18" s="60">
        <v>1320</v>
      </c>
      <c r="Q18" s="61">
        <v>1615</v>
      </c>
      <c r="R18" s="73">
        <f>R16*R14/1000000</f>
        <v>1595.6676358698078</v>
      </c>
      <c r="S18" s="73">
        <f t="shared" ref="S18:X18" si="17">S16*S14/1000000</f>
        <v>1572.6060394061312</v>
      </c>
      <c r="T18" s="73">
        <f t="shared" si="17"/>
        <v>1545.0941704167433</v>
      </c>
      <c r="U18" s="73">
        <f t="shared" si="17"/>
        <v>1607.361465484538</v>
      </c>
      <c r="V18" s="73">
        <f t="shared" si="17"/>
        <v>1573.7770659233554</v>
      </c>
      <c r="W18" s="73">
        <f t="shared" si="17"/>
        <v>1227.9002112600499</v>
      </c>
      <c r="X18" s="73">
        <f t="shared" si="17"/>
        <v>1064.4871581448585</v>
      </c>
    </row>
    <row r="19" spans="5:24" x14ac:dyDescent="0.3">
      <c r="E19" s="135" t="s">
        <v>94</v>
      </c>
      <c r="F19" s="136"/>
      <c r="G19" s="136"/>
      <c r="H19" s="136"/>
      <c r="I19" s="136"/>
      <c r="J19" s="136"/>
      <c r="K19" s="143"/>
      <c r="L19" s="141">
        <f t="shared" ref="L19:R19" si="18">L18/K18-1</f>
        <v>1.6400000000000001</v>
      </c>
      <c r="M19" s="141">
        <f t="shared" si="18"/>
        <v>0.66666666666666674</v>
      </c>
      <c r="N19" s="141">
        <f t="shared" si="18"/>
        <v>0.43636363636363629</v>
      </c>
      <c r="O19" s="141">
        <f t="shared" si="18"/>
        <v>0.32278481012658222</v>
      </c>
      <c r="P19" s="141">
        <f t="shared" si="18"/>
        <v>0.26315789473684204</v>
      </c>
      <c r="Q19" s="142">
        <f t="shared" si="18"/>
        <v>0.2234848484848484</v>
      </c>
      <c r="R19" s="141">
        <f t="shared" si="18"/>
        <v>-1.197050410538214E-2</v>
      </c>
      <c r="S19" s="141">
        <f t="shared" ref="S19:X19" si="19">S18/R18-1</f>
        <v>-1.4452631578947495E-2</v>
      </c>
      <c r="T19" s="141">
        <f t="shared" si="19"/>
        <v>-1.7494444444444146E-2</v>
      </c>
      <c r="U19" s="141">
        <f t="shared" si="19"/>
        <v>4.0300000000000002E-2</v>
      </c>
      <c r="V19" s="141">
        <f t="shared" si="19"/>
        <v>-2.089411764705873E-2</v>
      </c>
      <c r="W19" s="141">
        <f t="shared" si="19"/>
        <v>-0.21977500000000005</v>
      </c>
      <c r="X19" s="141">
        <f t="shared" si="19"/>
        <v>-0.13308333333333311</v>
      </c>
    </row>
    <row r="20" spans="5:24" x14ac:dyDescent="0.3">
      <c r="E20" s="49" t="s">
        <v>95</v>
      </c>
      <c r="F20" s="136"/>
      <c r="G20" s="136"/>
      <c r="H20" s="136"/>
      <c r="I20" s="136"/>
      <c r="J20" s="136"/>
      <c r="K20" s="141">
        <f t="shared" ref="K20:R20" si="20">K18/K26</f>
        <v>1</v>
      </c>
      <c r="L20" s="141">
        <f t="shared" si="20"/>
        <v>0.7857142857142857</v>
      </c>
      <c r="M20" s="141">
        <f t="shared" si="20"/>
        <v>0.70512820512820518</v>
      </c>
      <c r="N20" s="141">
        <f t="shared" si="20"/>
        <v>0.67234042553191486</v>
      </c>
      <c r="O20" s="141">
        <f t="shared" si="20"/>
        <v>0.65312499999999996</v>
      </c>
      <c r="P20" s="141">
        <f t="shared" si="20"/>
        <v>0.64390243902439026</v>
      </c>
      <c r="Q20" s="142">
        <f t="shared" si="20"/>
        <v>0.63582677165354329</v>
      </c>
      <c r="R20" s="141">
        <f t="shared" si="20"/>
        <v>0.63582677165354329</v>
      </c>
      <c r="S20" s="141">
        <f t="shared" ref="S20:X20" si="21">S18/S26</f>
        <v>0.63582677165354329</v>
      </c>
      <c r="T20" s="141">
        <f t="shared" si="21"/>
        <v>0.63582677165354329</v>
      </c>
      <c r="U20" s="141">
        <f t="shared" si="21"/>
        <v>0.63582677165354329</v>
      </c>
      <c r="V20" s="141">
        <f t="shared" si="21"/>
        <v>0.63582677165354329</v>
      </c>
      <c r="W20" s="141">
        <f t="shared" si="21"/>
        <v>0.63582677165354329</v>
      </c>
      <c r="X20" s="141">
        <f t="shared" si="21"/>
        <v>0.63582677165354329</v>
      </c>
    </row>
    <row r="21" spans="5:24" x14ac:dyDescent="0.3">
      <c r="E21" s="42"/>
      <c r="F21" s="34"/>
      <c r="G21" s="34"/>
      <c r="H21" s="34"/>
      <c r="I21" s="34"/>
      <c r="J21" s="34"/>
      <c r="K21" s="62"/>
      <c r="L21" s="51" t="s">
        <v>100</v>
      </c>
      <c r="M21" s="62"/>
      <c r="N21" s="62"/>
      <c r="O21" s="62"/>
      <c r="P21" s="62"/>
      <c r="Q21" s="63"/>
      <c r="R21" s="34"/>
      <c r="S21" s="34"/>
      <c r="T21" s="34"/>
      <c r="U21" s="34"/>
      <c r="V21" s="34"/>
      <c r="W21" s="34"/>
      <c r="X21" s="34"/>
    </row>
    <row r="22" spans="5:24" x14ac:dyDescent="0.3">
      <c r="E22" s="44" t="s">
        <v>96</v>
      </c>
      <c r="F22" s="40"/>
      <c r="G22" s="40"/>
      <c r="H22" s="40"/>
      <c r="I22" s="40"/>
      <c r="J22" s="40"/>
      <c r="K22" s="64"/>
      <c r="L22" s="60">
        <v>90</v>
      </c>
      <c r="M22" s="60">
        <v>230</v>
      </c>
      <c r="N22" s="60">
        <v>385</v>
      </c>
      <c r="O22" s="60">
        <v>555</v>
      </c>
      <c r="P22" s="60">
        <v>730</v>
      </c>
      <c r="Q22" s="61">
        <v>925</v>
      </c>
      <c r="R22" s="72">
        <f>Q22*(1+R23)</f>
        <v>913.92728370252155</v>
      </c>
      <c r="S22" s="72">
        <f t="shared" ref="S22:X22" si="22">R22*(1+S23)</f>
        <v>900.71862938122081</v>
      </c>
      <c r="T22" s="72">
        <f t="shared" si="22"/>
        <v>884.96105735943513</v>
      </c>
      <c r="U22" s="72">
        <f t="shared" si="22"/>
        <v>920.62498797102035</v>
      </c>
      <c r="V22" s="72">
        <f t="shared" si="22"/>
        <v>901.38934116353187</v>
      </c>
      <c r="W22" s="72">
        <f t="shared" si="22"/>
        <v>703.28649870931656</v>
      </c>
      <c r="X22" s="72">
        <f t="shared" si="22"/>
        <v>609.69078717275181</v>
      </c>
    </row>
    <row r="23" spans="5:24" x14ac:dyDescent="0.3">
      <c r="E23" s="135" t="s">
        <v>94</v>
      </c>
      <c r="F23" s="136"/>
      <c r="G23" s="136"/>
      <c r="H23" s="136"/>
      <c r="I23" s="136"/>
      <c r="J23" s="136"/>
      <c r="K23" s="143"/>
      <c r="L23" s="143"/>
      <c r="M23" s="141">
        <f>M22/L22-1</f>
        <v>1.5555555555555554</v>
      </c>
      <c r="N23" s="141">
        <f>N22/M22-1</f>
        <v>0.67391304347826098</v>
      </c>
      <c r="O23" s="141">
        <f>O22/N22-1</f>
        <v>0.44155844155844148</v>
      </c>
      <c r="P23" s="141">
        <f>P22/O22-1</f>
        <v>0.31531531531531543</v>
      </c>
      <c r="Q23" s="142">
        <f>Q22/P22-1</f>
        <v>0.26712328767123283</v>
      </c>
      <c r="R23" s="147">
        <f>R19</f>
        <v>-1.197050410538214E-2</v>
      </c>
      <c r="S23" s="147">
        <f t="shared" ref="S23:X23" si="23">S19</f>
        <v>-1.4452631578947495E-2</v>
      </c>
      <c r="T23" s="147">
        <f t="shared" si="23"/>
        <v>-1.7494444444444146E-2</v>
      </c>
      <c r="U23" s="147">
        <f t="shared" si="23"/>
        <v>4.0300000000000002E-2</v>
      </c>
      <c r="V23" s="147">
        <f t="shared" si="23"/>
        <v>-2.089411764705873E-2</v>
      </c>
      <c r="W23" s="147">
        <f t="shared" si="23"/>
        <v>-0.21977500000000005</v>
      </c>
      <c r="X23" s="147">
        <f t="shared" si="23"/>
        <v>-0.13308333333333311</v>
      </c>
    </row>
    <row r="24" spans="5:24" x14ac:dyDescent="0.3">
      <c r="E24" s="137" t="s">
        <v>97</v>
      </c>
      <c r="F24" s="54"/>
      <c r="G24" s="54"/>
      <c r="H24" s="54"/>
      <c r="I24" s="54"/>
      <c r="J24" s="54"/>
      <c r="K24" s="143"/>
      <c r="L24" s="141">
        <f t="shared" ref="L24:R24" si="24">L22/L26</f>
        <v>0.21428571428571427</v>
      </c>
      <c r="M24" s="141">
        <f t="shared" si="24"/>
        <v>0.29487179487179488</v>
      </c>
      <c r="N24" s="141">
        <f t="shared" si="24"/>
        <v>0.32765957446808508</v>
      </c>
      <c r="O24" s="141">
        <f t="shared" si="24"/>
        <v>0.34687499999999999</v>
      </c>
      <c r="P24" s="141">
        <f t="shared" si="24"/>
        <v>0.35609756097560974</v>
      </c>
      <c r="Q24" s="142">
        <f t="shared" si="24"/>
        <v>0.36417322834645671</v>
      </c>
      <c r="R24" s="141">
        <f t="shared" si="24"/>
        <v>0.36417322834645671</v>
      </c>
      <c r="S24" s="141">
        <f t="shared" ref="S24:X24" si="25">S22/S26</f>
        <v>0.36417322834645671</v>
      </c>
      <c r="T24" s="141">
        <f t="shared" si="25"/>
        <v>0.36417322834645671</v>
      </c>
      <c r="U24" s="141">
        <f t="shared" si="25"/>
        <v>0.36417322834645677</v>
      </c>
      <c r="V24" s="141">
        <f t="shared" si="25"/>
        <v>0.36417322834645671</v>
      </c>
      <c r="W24" s="141">
        <f t="shared" si="25"/>
        <v>0.36417322834645671</v>
      </c>
      <c r="X24" s="141">
        <f t="shared" si="25"/>
        <v>0.36417322834645666</v>
      </c>
    </row>
    <row r="25" spans="5:24" x14ac:dyDescent="0.3">
      <c r="E25" s="42"/>
      <c r="F25" s="34"/>
      <c r="G25" s="34"/>
      <c r="H25" s="34"/>
      <c r="I25" s="34"/>
      <c r="J25" s="34"/>
      <c r="K25" s="62"/>
      <c r="L25" s="62"/>
      <c r="M25" s="62"/>
      <c r="N25" s="62"/>
      <c r="O25" s="62"/>
      <c r="P25" s="62"/>
      <c r="Q25" s="63"/>
      <c r="R25" s="34"/>
      <c r="S25" s="34"/>
      <c r="T25" s="34"/>
      <c r="U25" s="34"/>
      <c r="V25" s="34"/>
      <c r="W25" s="34"/>
      <c r="X25" s="34"/>
    </row>
    <row r="26" spans="5:24" x14ac:dyDescent="0.3">
      <c r="E26" s="44" t="s">
        <v>98</v>
      </c>
      <c r="F26" s="40"/>
      <c r="G26" s="40"/>
      <c r="H26" s="40"/>
      <c r="I26" s="40"/>
      <c r="J26" s="40"/>
      <c r="K26" s="47">
        <f>K18</f>
        <v>125</v>
      </c>
      <c r="L26" s="47">
        <f t="shared" ref="L26:X26" si="26">L18+L22</f>
        <v>420</v>
      </c>
      <c r="M26" s="47">
        <f t="shared" si="26"/>
        <v>780</v>
      </c>
      <c r="N26" s="47">
        <f t="shared" si="26"/>
        <v>1175</v>
      </c>
      <c r="O26" s="47">
        <f t="shared" si="26"/>
        <v>1600</v>
      </c>
      <c r="P26" s="47">
        <f t="shared" si="26"/>
        <v>2050</v>
      </c>
      <c r="Q26" s="48">
        <f t="shared" si="26"/>
        <v>2540</v>
      </c>
      <c r="R26" s="47">
        <f t="shared" si="26"/>
        <v>2509.5949195723292</v>
      </c>
      <c r="S26" s="47">
        <f t="shared" si="26"/>
        <v>2473.324668787352</v>
      </c>
      <c r="T26" s="47">
        <f t="shared" si="26"/>
        <v>2430.0552277761785</v>
      </c>
      <c r="U26" s="47">
        <f t="shared" si="26"/>
        <v>2527.9864534555581</v>
      </c>
      <c r="V26" s="47">
        <f t="shared" si="26"/>
        <v>2475.1664070868874</v>
      </c>
      <c r="W26" s="47">
        <f t="shared" si="26"/>
        <v>1931.1867099693663</v>
      </c>
      <c r="X26" s="47">
        <f t="shared" si="26"/>
        <v>1674.1779453176105</v>
      </c>
    </row>
    <row r="27" spans="5:24" x14ac:dyDescent="0.3">
      <c r="E27" s="135" t="s">
        <v>94</v>
      </c>
      <c r="F27" s="136"/>
      <c r="G27" s="136"/>
      <c r="H27" s="136"/>
      <c r="I27" s="136"/>
      <c r="J27" s="136"/>
      <c r="K27" s="143"/>
      <c r="L27" s="153">
        <f t="shared" ref="L27:X27" si="27">L26/K26-1</f>
        <v>2.36</v>
      </c>
      <c r="M27" s="153">
        <f t="shared" si="27"/>
        <v>0.85714285714285721</v>
      </c>
      <c r="N27" s="153">
        <f t="shared" si="27"/>
        <v>0.50641025641025639</v>
      </c>
      <c r="O27" s="153">
        <f t="shared" si="27"/>
        <v>0.36170212765957444</v>
      </c>
      <c r="P27" s="153">
        <f t="shared" si="27"/>
        <v>0.28125</v>
      </c>
      <c r="Q27" s="154">
        <f t="shared" si="27"/>
        <v>0.23902439024390243</v>
      </c>
      <c r="R27" s="153">
        <f t="shared" si="27"/>
        <v>-1.1970504105382251E-2</v>
      </c>
      <c r="S27" s="153">
        <f t="shared" si="27"/>
        <v>-1.4452631578947495E-2</v>
      </c>
      <c r="T27" s="153">
        <f t="shared" si="27"/>
        <v>-1.7494444444444146E-2</v>
      </c>
      <c r="U27" s="153">
        <f t="shared" si="27"/>
        <v>4.029999999999978E-2</v>
      </c>
      <c r="V27" s="153">
        <f t="shared" si="27"/>
        <v>-2.0894117647058619E-2</v>
      </c>
      <c r="W27" s="153">
        <f t="shared" si="27"/>
        <v>-0.21977500000000016</v>
      </c>
      <c r="X27" s="153">
        <f t="shared" si="27"/>
        <v>-0.133083333333333</v>
      </c>
    </row>
    <row r="28" spans="5:24" x14ac:dyDescent="0.3">
      <c r="E28" s="42"/>
      <c r="F28" s="34"/>
      <c r="G28" s="34"/>
      <c r="H28" s="34"/>
      <c r="I28" s="34"/>
      <c r="J28" s="34"/>
      <c r="K28" s="62"/>
      <c r="L28" s="62"/>
      <c r="M28" s="62"/>
      <c r="N28" s="62"/>
      <c r="O28" s="62"/>
      <c r="P28" s="62"/>
      <c r="Q28" s="63"/>
      <c r="R28" s="34"/>
      <c r="S28" s="34"/>
      <c r="T28" s="34"/>
      <c r="U28" s="34"/>
      <c r="V28" s="34"/>
      <c r="W28" s="34"/>
      <c r="X28" s="34"/>
    </row>
    <row r="29" spans="5:24" x14ac:dyDescent="0.3">
      <c r="E29" s="65" t="s">
        <v>104</v>
      </c>
      <c r="F29" s="66"/>
      <c r="G29" s="66"/>
      <c r="H29" s="66"/>
      <c r="I29" s="66"/>
      <c r="J29" s="66"/>
      <c r="K29" s="67">
        <f>K26*$C$11</f>
        <v>25</v>
      </c>
      <c r="L29" s="67">
        <f t="shared" ref="L29:P29" si="28">L26*$C$11</f>
        <v>84</v>
      </c>
      <c r="M29" s="67">
        <f t="shared" si="28"/>
        <v>156</v>
      </c>
      <c r="N29" s="67">
        <f t="shared" si="28"/>
        <v>235</v>
      </c>
      <c r="O29" s="67">
        <f t="shared" si="28"/>
        <v>320</v>
      </c>
      <c r="P29" s="67">
        <f t="shared" si="28"/>
        <v>410</v>
      </c>
      <c r="Q29" s="68">
        <f>Q26*$C$11</f>
        <v>508</v>
      </c>
      <c r="R29" s="67">
        <f>R26*$C$11</f>
        <v>501.91898391446585</v>
      </c>
      <c r="S29" s="67">
        <f t="shared" ref="S29:X29" si="29">S26*$C$11</f>
        <v>494.66493375747041</v>
      </c>
      <c r="T29" s="67">
        <f t="shared" si="29"/>
        <v>486.01104555523574</v>
      </c>
      <c r="U29" s="67">
        <f t="shared" si="29"/>
        <v>505.59729069111165</v>
      </c>
      <c r="V29" s="67">
        <f t="shared" si="29"/>
        <v>495.03328141737751</v>
      </c>
      <c r="W29" s="67">
        <f t="shared" si="29"/>
        <v>386.23734199387332</v>
      </c>
      <c r="X29" s="67">
        <f t="shared" si="29"/>
        <v>334.83558906352209</v>
      </c>
    </row>
    <row r="30" spans="5:24" x14ac:dyDescent="0.3">
      <c r="E30" s="35"/>
    </row>
    <row r="31" spans="5:24" x14ac:dyDescent="0.3">
      <c r="E31" s="83" t="s">
        <v>102</v>
      </c>
    </row>
    <row r="32" spans="5:24" x14ac:dyDescent="0.3">
      <c r="E32" s="149" t="s">
        <v>101</v>
      </c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0"/>
      <c r="R32" s="151" t="s">
        <v>15</v>
      </c>
      <c r="S32" s="151" t="s">
        <v>16</v>
      </c>
      <c r="T32" s="151" t="s">
        <v>17</v>
      </c>
      <c r="U32" s="151" t="s">
        <v>18</v>
      </c>
      <c r="V32" s="151" t="s">
        <v>19</v>
      </c>
      <c r="W32" s="151" t="s">
        <v>20</v>
      </c>
      <c r="X32" s="152" t="s">
        <v>21</v>
      </c>
    </row>
    <row r="33" spans="5:27" x14ac:dyDescent="0.3">
      <c r="E33" s="79" t="s">
        <v>11</v>
      </c>
      <c r="F33" s="74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5">
        <v>0.11</v>
      </c>
      <c r="S33" s="75">
        <v>0.12</v>
      </c>
      <c r="T33" s="75">
        <v>0.13</v>
      </c>
      <c r="U33" s="75">
        <v>0.14000000000000001</v>
      </c>
      <c r="V33" s="75">
        <v>0.15</v>
      </c>
      <c r="W33" s="75">
        <v>0.12</v>
      </c>
      <c r="X33" s="81">
        <v>0.1</v>
      </c>
    </row>
    <row r="34" spans="5:27" x14ac:dyDescent="0.3">
      <c r="E34" s="79" t="s">
        <v>12</v>
      </c>
      <c r="F34" s="74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5">
        <v>0.1</v>
      </c>
      <c r="S34" s="75">
        <v>0.1</v>
      </c>
      <c r="T34" s="75">
        <v>0.105</v>
      </c>
      <c r="U34" s="75">
        <v>0.105</v>
      </c>
      <c r="V34" s="75">
        <v>0.11</v>
      </c>
      <c r="W34" s="75">
        <v>0.09</v>
      </c>
      <c r="X34" s="81">
        <v>7.0000000000000007E-2</v>
      </c>
    </row>
    <row r="35" spans="5:27" x14ac:dyDescent="0.3">
      <c r="E35" s="80" t="s">
        <v>13</v>
      </c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7">
        <v>9.5000000000000001E-2</v>
      </c>
      <c r="S35" s="77">
        <v>0.09</v>
      </c>
      <c r="T35" s="77">
        <v>8.5000000000000006E-2</v>
      </c>
      <c r="U35" s="77">
        <v>8.5000000000000006E-2</v>
      </c>
      <c r="V35" s="77">
        <v>0.08</v>
      </c>
      <c r="W35" s="77">
        <v>0.06</v>
      </c>
      <c r="X35" s="82">
        <v>0.05</v>
      </c>
    </row>
    <row r="36" spans="5:27" x14ac:dyDescent="0.3">
      <c r="E36" s="155" t="str">
        <f>" Currently Using: "&amp;CHOOSE(Summary!$B$4,E33,E34,E35)</f>
        <v xml:space="preserve"> Currently Using: Bear Case</v>
      </c>
      <c r="F36" s="156"/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156"/>
      <c r="R36" s="157">
        <f>CHOOSE(Summary!$B$4,R33,R34,R35)</f>
        <v>9.5000000000000001E-2</v>
      </c>
      <c r="S36" s="157">
        <f>CHOOSE(Summary!$B$4,S33,S34,S35)</f>
        <v>0.09</v>
      </c>
      <c r="T36" s="157">
        <f>CHOOSE(Summary!$B$4,T33,T34,T35)</f>
        <v>8.5000000000000006E-2</v>
      </c>
      <c r="U36" s="157">
        <f>CHOOSE(Summary!$B$4,U33,U34,U35)</f>
        <v>8.5000000000000006E-2</v>
      </c>
      <c r="V36" s="157">
        <f>CHOOSE(Summary!$B$4,V33,V34,V35)</f>
        <v>0.08</v>
      </c>
      <c r="W36" s="157">
        <f>CHOOSE(Summary!$B$4,W33,W34,W35)</f>
        <v>0.06</v>
      </c>
      <c r="X36" s="158">
        <f>CHOOSE(Summary!$B$4,X33,X34,X35)</f>
        <v>0.05</v>
      </c>
    </row>
    <row r="37" spans="5:27" x14ac:dyDescent="0.3">
      <c r="E37" s="37"/>
    </row>
    <row r="39" spans="5:27" x14ac:dyDescent="0.3">
      <c r="E39" s="35"/>
    </row>
    <row r="40" spans="5:27" x14ac:dyDescent="0.3">
      <c r="E40" s="36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2"/>
      <c r="Y40" s="2"/>
      <c r="Z40" s="2"/>
      <c r="AA40" s="2"/>
    </row>
    <row r="41" spans="5:27" x14ac:dyDescent="0.3">
      <c r="E41" s="36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2"/>
      <c r="Y41" s="2"/>
      <c r="Z41" s="2"/>
      <c r="AA41" s="2"/>
    </row>
    <row r="42" spans="5:27" x14ac:dyDescent="0.3">
      <c r="E42" s="36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2"/>
      <c r="Y42" s="2"/>
      <c r="Z42" s="2"/>
      <c r="AA42" s="2"/>
    </row>
    <row r="43" spans="5:27" x14ac:dyDescent="0.3">
      <c r="E43" s="37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2"/>
      <c r="Y43" s="2"/>
      <c r="Z43" s="2"/>
      <c r="AA43" s="2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DCF</vt:lpstr>
      <vt:lpstr>RPM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 Shar</dc:creator>
  <cp:lastModifiedBy>Benjamin Shar</cp:lastModifiedBy>
  <dcterms:created xsi:type="dcterms:W3CDTF">2026-04-02T22:50:04Z</dcterms:created>
  <dcterms:modified xsi:type="dcterms:W3CDTF">2026-04-26T00:44:31Z</dcterms:modified>
</cp:coreProperties>
</file>